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VerticalScroll="0" xWindow="0" yWindow="0" windowWidth="19440" windowHeight="15600" tabRatio="656"/>
  </bookViews>
  <sheets>
    <sheet name="     0-I     " sheetId="15" r:id="rId1"/>
    <sheet name="     1-DG     " sheetId="7" r:id="rId2"/>
    <sheet name="     2-DL     " sheetId="1" r:id="rId3"/>
    <sheet name="     3-AE     " sheetId="6" r:id="rId4"/>
    <sheet name="     4-R     " sheetId="16" r:id="rId5"/>
    <sheet name="C-L" sheetId="12" state="hidden" r:id="rId6"/>
    <sheet name="C-P" sheetId="2" state="hidden" r:id="rId7"/>
    <sheet name="C-CP" sheetId="5" state="hidden" r:id="rId8"/>
    <sheet name="C-CU" sheetId="11" state="hidden" r:id="rId9"/>
  </sheets>
  <externalReferences>
    <externalReference r:id="rId10"/>
  </externalReferences>
  <definedNames>
    <definedName name="_xlnm._FilterDatabase" localSheetId="1" hidden="1">'     1-DG     '!$B$5:$I$18</definedName>
    <definedName name="_xlnm._FilterDatabase" localSheetId="2" hidden="1">'     2-DL     '!$B$2:$L$34</definedName>
    <definedName name="_xlnm._FilterDatabase" localSheetId="3" hidden="1">'     3-AE     '!#REF!</definedName>
    <definedName name="_xlnm._FilterDatabase" localSheetId="8" hidden="1">'C-CU'!#REF!</definedName>
    <definedName name="_xlnm._FilterDatabase" localSheetId="6" hidden="1">'C-P'!#REF!</definedName>
    <definedName name="A_TempsAccèsPortéeSuivante">'     2-DL     '!$J$6</definedName>
    <definedName name="A_TempsAccèsPylone">'C-P'!$J$28</definedName>
    <definedName name="A_TempsEvacuationVéhicule">'     2-DL     '!$H$6</definedName>
    <definedName name="A_TempsRetourPassagerLieuSur">'C-P'!$J$31</definedName>
    <definedName name="A_Tiempo_paso_un_vehiculo_a_otro">'     2-DL     '!#REF!</definedName>
    <definedName name="Datos">'C-P'!$A$3:$L$19</definedName>
    <definedName name="_xlnm.Print_Area" localSheetId="4">'     4-R     '!$B$2:$H$64</definedName>
    <definedName name="Durée_maximale_d_évacuation">'     1-DG     '!$F$9</definedName>
    <definedName name="Espacement_Véhicules">'     1-DG     '!$F$13</definedName>
    <definedName name="LongueurLigne">'     3-AE     '!$D$6</definedName>
    <definedName name="m">'[1]     1-DG     '!$D$12</definedName>
    <definedName name="n">'[1]     1-DG     '!$D$12</definedName>
    <definedName name="NBPylône">'     1-DG     '!$F$12</definedName>
    <definedName name="NMaxSiègeEquipe">'     1-DG     '!$F$14</definedName>
    <definedName name="NMaxSiègeLigne">'C-P'!$E$36</definedName>
    <definedName name="Nombre_de_personne_par_siège__maximum">'     1-DG     '!$F$11</definedName>
    <definedName name="NomDernièreEquipe">'C-P'!$E$34</definedName>
    <definedName name="NomG1">'C-P'!$N$22</definedName>
    <definedName name="NomG2">'C-P'!$N$23</definedName>
    <definedName name="NomPortée">'C-P'!$N$24</definedName>
    <definedName name="o">'[1]     1-DG     '!$D$12</definedName>
    <definedName name="OLE_LINK1" localSheetId="5">'C-L'!$BA$5</definedName>
    <definedName name="OLE_LINK2" localSheetId="5">'C-L'!$BF$5</definedName>
    <definedName name="Remplissage_du_brin_descendant">'     1-DG     '!$F$16</definedName>
    <definedName name="Remplissage_du_brin_montant">'     1-DG     '!$F$15</definedName>
    <definedName name="S_TempsAccèsPortéeSuivante">'C-P'!$E$30</definedName>
    <definedName name="S_TempsAccèsPylone">'C-P'!$E$28</definedName>
    <definedName name="S_TempsEvacuationVehicule">'C-P'!$E$29</definedName>
    <definedName name="S_TempsRetourPassagerLieuSur">'C-P'!$E$31</definedName>
    <definedName name="S_Tiempo_paso_un_vehiculo_a_otro">'C-P'!$E$32</definedName>
    <definedName name="TexteG1">'C-P'!$P$22</definedName>
    <definedName name="TexteG2">'C-P'!$P$23</definedName>
    <definedName name="TotalTempsAccèsPylône" localSheetId="8">'C-CU'!#REF!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T1" i="12" l="1"/>
  <c r="G18" i="16"/>
  <c r="CX1" i="12"/>
  <c r="B1" i="16"/>
  <c r="B1" i="6"/>
  <c r="B1" i="1"/>
  <c r="B1" i="7"/>
  <c r="AZ1" i="12"/>
  <c r="B4" i="15"/>
  <c r="B1" i="15"/>
  <c r="CW1" i="12"/>
  <c r="CV1" i="12"/>
  <c r="CU1" i="12"/>
  <c r="CT1" i="12"/>
  <c r="CS1" i="12"/>
  <c r="CR1" i="12"/>
  <c r="CQ1" i="12"/>
  <c r="CP1" i="12"/>
  <c r="CO1" i="12"/>
  <c r="CN1" i="12"/>
  <c r="CM1" i="12"/>
  <c r="CL1" i="12"/>
  <c r="CK1" i="12"/>
  <c r="CJ1" i="12"/>
  <c r="CI1" i="12"/>
  <c r="CH1" i="12"/>
  <c r="CG1" i="12"/>
  <c r="CF1" i="12"/>
  <c r="CE1" i="12"/>
  <c r="CD1" i="12"/>
  <c r="CC1" i="12"/>
  <c r="CB1" i="12"/>
  <c r="CA1" i="12"/>
  <c r="BZ1" i="12"/>
  <c r="BY1" i="12"/>
  <c r="BX1" i="12"/>
  <c r="BW1" i="12"/>
  <c r="BV1" i="12"/>
  <c r="BU1" i="12"/>
  <c r="BT1" i="12"/>
  <c r="BS1" i="12"/>
  <c r="BR1" i="12"/>
  <c r="BQ1" i="12"/>
  <c r="BP1" i="12"/>
  <c r="BO1" i="12"/>
  <c r="BN1" i="12"/>
  <c r="BM1" i="12"/>
  <c r="BL1" i="12"/>
  <c r="BK1" i="12"/>
  <c r="BJ1" i="12"/>
  <c r="BI1" i="12"/>
  <c r="BH1" i="12"/>
  <c r="BG1" i="12"/>
  <c r="BF1" i="12"/>
  <c r="BE1" i="12"/>
  <c r="BD1" i="12"/>
  <c r="BC1" i="12"/>
  <c r="BB1" i="12"/>
  <c r="BA1" i="12"/>
  <c r="AY1" i="12"/>
  <c r="AX1" i="12"/>
  <c r="AW1" i="12"/>
  <c r="AV1" i="12"/>
  <c r="AU1" i="12"/>
  <c r="AS1" i="12"/>
  <c r="AR1" i="12"/>
  <c r="AQ1" i="12"/>
  <c r="AP1" i="12"/>
  <c r="AO1" i="12"/>
  <c r="AN1" i="12"/>
  <c r="AM1" i="12"/>
  <c r="AL1" i="12"/>
  <c r="AK1" i="12"/>
  <c r="AJ1" i="12"/>
  <c r="AI1" i="12"/>
  <c r="AH1" i="12"/>
  <c r="AG1" i="12"/>
  <c r="AF1" i="12"/>
  <c r="AE1" i="12"/>
  <c r="AD1" i="12"/>
  <c r="AC1" i="12"/>
  <c r="AB1" i="12"/>
  <c r="AA1" i="12"/>
  <c r="Z1" i="12"/>
  <c r="Y1" i="12"/>
  <c r="X1" i="12"/>
  <c r="W1" i="12"/>
  <c r="V1" i="12"/>
  <c r="U1" i="12"/>
  <c r="T1" i="12"/>
  <c r="S1" i="12"/>
  <c r="R1" i="12"/>
  <c r="Q1" i="12"/>
  <c r="P1" i="12"/>
  <c r="O1" i="12"/>
  <c r="N1" i="12"/>
  <c r="M1" i="12"/>
  <c r="L1" i="12"/>
  <c r="K1" i="12"/>
  <c r="J1" i="12"/>
  <c r="I1" i="12"/>
  <c r="H1" i="12"/>
  <c r="G1" i="12"/>
  <c r="F1" i="12"/>
  <c r="E1" i="12"/>
  <c r="D1" i="12"/>
  <c r="C1" i="12"/>
  <c r="B1" i="12"/>
  <c r="A1" i="12"/>
  <c r="F18" i="7"/>
  <c r="F18" i="16"/>
  <c r="F17" i="7"/>
  <c r="F17" i="16"/>
  <c r="F13" i="16"/>
  <c r="F12" i="16"/>
  <c r="F5" i="16"/>
  <c r="E5" i="16"/>
  <c r="D7" i="7"/>
  <c r="F4" i="16"/>
  <c r="U5" i="6"/>
  <c r="P5" i="6"/>
  <c r="E18" i="16"/>
  <c r="E14" i="16"/>
  <c r="E17" i="16"/>
  <c r="V7" i="11"/>
  <c r="S4" i="2"/>
  <c r="R3" i="2"/>
  <c r="R4" i="2"/>
  <c r="X6" i="11"/>
  <c r="FR31" i="5"/>
  <c r="FR30" i="5"/>
  <c r="R5" i="2"/>
  <c r="R6" i="2"/>
  <c r="R7" i="2"/>
  <c r="R8" i="2"/>
  <c r="R9" i="2"/>
  <c r="R10" i="2"/>
  <c r="R11" i="2"/>
  <c r="R12" i="2"/>
  <c r="R13" i="2"/>
  <c r="R14" i="2"/>
  <c r="R15" i="2"/>
  <c r="R16" i="2"/>
  <c r="R17" i="2"/>
  <c r="R18" i="2"/>
  <c r="R19" i="2"/>
  <c r="R20" i="2"/>
  <c r="R21" i="2"/>
  <c r="R22" i="2"/>
  <c r="R23" i="2"/>
  <c r="R24" i="2"/>
  <c r="R25" i="2"/>
  <c r="R26" i="2"/>
  <c r="C31" i="1"/>
  <c r="D31" i="1"/>
  <c r="B29" i="5"/>
  <c r="C29" i="5"/>
  <c r="D8" i="1"/>
  <c r="B6" i="5"/>
  <c r="C6" i="5"/>
  <c r="C9" i="1"/>
  <c r="D9" i="1"/>
  <c r="B7" i="5"/>
  <c r="C7" i="5"/>
  <c r="C10" i="1"/>
  <c r="D10" i="1"/>
  <c r="B8" i="5"/>
  <c r="C8" i="5"/>
  <c r="C11" i="1"/>
  <c r="D11" i="1"/>
  <c r="B9" i="5"/>
  <c r="C9" i="5"/>
  <c r="C12" i="1"/>
  <c r="D12" i="1"/>
  <c r="B10" i="5"/>
  <c r="C10" i="5"/>
  <c r="C13" i="1"/>
  <c r="D13" i="1"/>
  <c r="B11" i="5"/>
  <c r="C11" i="5"/>
  <c r="C14" i="1"/>
  <c r="D14" i="1"/>
  <c r="B12" i="5"/>
  <c r="C12" i="5"/>
  <c r="C15" i="1"/>
  <c r="D15" i="1"/>
  <c r="B13" i="5"/>
  <c r="C13" i="5"/>
  <c r="C16" i="1"/>
  <c r="D16" i="1"/>
  <c r="B14" i="5"/>
  <c r="C14" i="5"/>
  <c r="C17" i="1"/>
  <c r="D17" i="1"/>
  <c r="B15" i="5"/>
  <c r="C15" i="5"/>
  <c r="C18" i="1"/>
  <c r="D18" i="1"/>
  <c r="B16" i="5"/>
  <c r="C16" i="5"/>
  <c r="C19" i="1"/>
  <c r="D19" i="1"/>
  <c r="B17" i="5"/>
  <c r="C17" i="5"/>
  <c r="C20" i="1"/>
  <c r="D20" i="1"/>
  <c r="B18" i="5"/>
  <c r="C18" i="5"/>
  <c r="C21" i="1"/>
  <c r="D21" i="1"/>
  <c r="B19" i="5"/>
  <c r="C19" i="5"/>
  <c r="C22" i="1"/>
  <c r="D22" i="1"/>
  <c r="B20" i="5"/>
  <c r="C20" i="5"/>
  <c r="C23" i="1"/>
  <c r="D23" i="1"/>
  <c r="B21" i="5"/>
  <c r="C21" i="5"/>
  <c r="C24" i="1"/>
  <c r="D24" i="1"/>
  <c r="B22" i="5"/>
  <c r="C22" i="5"/>
  <c r="C25" i="1"/>
  <c r="D25" i="1"/>
  <c r="B23" i="5"/>
  <c r="C23" i="5"/>
  <c r="C26" i="1"/>
  <c r="D26" i="1"/>
  <c r="B24" i="5"/>
  <c r="C24" i="5"/>
  <c r="C27" i="1"/>
  <c r="D27" i="1"/>
  <c r="B25" i="5"/>
  <c r="C25" i="5"/>
  <c r="C28" i="1"/>
  <c r="D28" i="1"/>
  <c r="B26" i="5"/>
  <c r="C26" i="5"/>
  <c r="C29" i="1"/>
  <c r="D29" i="1"/>
  <c r="B27" i="5"/>
  <c r="C27" i="5"/>
  <c r="C30" i="1"/>
  <c r="D30" i="1"/>
  <c r="B28" i="5"/>
  <c r="C28" i="5"/>
  <c r="CO29" i="5"/>
  <c r="E6" i="5"/>
  <c r="F6" i="5"/>
  <c r="CO6" i="5"/>
  <c r="G6" i="5"/>
  <c r="F7" i="5"/>
  <c r="CO7" i="5"/>
  <c r="H7" i="5"/>
  <c r="DO6" i="5"/>
  <c r="G7" i="5"/>
  <c r="F8" i="5"/>
  <c r="CO8" i="5"/>
  <c r="H8" i="5"/>
  <c r="DO7" i="5"/>
  <c r="G8" i="5"/>
  <c r="F9" i="5"/>
  <c r="CO9" i="5"/>
  <c r="H9" i="5"/>
  <c r="DO8" i="5"/>
  <c r="G9" i="5"/>
  <c r="F10" i="5"/>
  <c r="CO10" i="5"/>
  <c r="H10" i="5"/>
  <c r="DO9" i="5"/>
  <c r="G10" i="5"/>
  <c r="F11" i="5"/>
  <c r="CO11" i="5"/>
  <c r="H11" i="5"/>
  <c r="DO10" i="5"/>
  <c r="G11" i="5"/>
  <c r="F12" i="5"/>
  <c r="CO12" i="5"/>
  <c r="H12" i="5"/>
  <c r="DO11" i="5"/>
  <c r="G12" i="5"/>
  <c r="F13" i="5"/>
  <c r="CO13" i="5"/>
  <c r="H13" i="5"/>
  <c r="DO12" i="5"/>
  <c r="G13" i="5"/>
  <c r="F14" i="5"/>
  <c r="CO14" i="5"/>
  <c r="H14" i="5"/>
  <c r="DO13" i="5"/>
  <c r="G14" i="5"/>
  <c r="F15" i="5"/>
  <c r="CO15" i="5"/>
  <c r="H15" i="5"/>
  <c r="DO14" i="5"/>
  <c r="G15" i="5"/>
  <c r="F16" i="5"/>
  <c r="CO16" i="5"/>
  <c r="H16" i="5"/>
  <c r="DO15" i="5"/>
  <c r="G16" i="5"/>
  <c r="F17" i="5"/>
  <c r="CO17" i="5"/>
  <c r="H17" i="5"/>
  <c r="DO16" i="5"/>
  <c r="G17" i="5"/>
  <c r="F18" i="5"/>
  <c r="CO18" i="5"/>
  <c r="H18" i="5"/>
  <c r="DO17" i="5"/>
  <c r="G18" i="5"/>
  <c r="F19" i="5"/>
  <c r="CO19" i="5"/>
  <c r="H19" i="5"/>
  <c r="DO18" i="5"/>
  <c r="G19" i="5"/>
  <c r="F20" i="5"/>
  <c r="CO20" i="5"/>
  <c r="H20" i="5"/>
  <c r="DO19" i="5"/>
  <c r="G20" i="5"/>
  <c r="F21" i="5"/>
  <c r="CO21" i="5"/>
  <c r="H21" i="5"/>
  <c r="DO20" i="5"/>
  <c r="G21" i="5"/>
  <c r="F22" i="5"/>
  <c r="CO22" i="5"/>
  <c r="H22" i="5"/>
  <c r="DO21" i="5"/>
  <c r="G22" i="5"/>
  <c r="F23" i="5"/>
  <c r="CO23" i="5"/>
  <c r="H23" i="5"/>
  <c r="DO22" i="5"/>
  <c r="G23" i="5"/>
  <c r="F24" i="5"/>
  <c r="CO24" i="5"/>
  <c r="H24" i="5"/>
  <c r="DO23" i="5"/>
  <c r="G24" i="5"/>
  <c r="F25" i="5"/>
  <c r="CO25" i="5"/>
  <c r="H25" i="5"/>
  <c r="DO24" i="5"/>
  <c r="G25" i="5"/>
  <c r="F26" i="5"/>
  <c r="CO26" i="5"/>
  <c r="H26" i="5"/>
  <c r="DO25" i="5"/>
  <c r="G26" i="5"/>
  <c r="F27" i="5"/>
  <c r="CO27" i="5"/>
  <c r="H27" i="5"/>
  <c r="DO26" i="5"/>
  <c r="G27" i="5"/>
  <c r="F28" i="5"/>
  <c r="CO28" i="5"/>
  <c r="H28" i="5"/>
  <c r="DO27" i="5"/>
  <c r="G28" i="5"/>
  <c r="F29" i="5"/>
  <c r="H29" i="5"/>
  <c r="DO28" i="5"/>
  <c r="G29" i="5"/>
  <c r="R27" i="2"/>
  <c r="C32" i="1"/>
  <c r="D32" i="1"/>
  <c r="B30" i="5"/>
  <c r="C30" i="5"/>
  <c r="CO30" i="5"/>
  <c r="F30" i="5"/>
  <c r="DO29" i="5"/>
  <c r="EO29" i="5"/>
  <c r="EO28" i="5"/>
  <c r="EO27" i="5"/>
  <c r="EO26" i="5"/>
  <c r="EO25" i="5"/>
  <c r="EO24" i="5"/>
  <c r="EO23" i="5"/>
  <c r="EO22" i="5"/>
  <c r="EO21" i="5"/>
  <c r="EO20" i="5"/>
  <c r="EO19" i="5"/>
  <c r="EO18" i="5"/>
  <c r="EO17" i="5"/>
  <c r="EO16" i="5"/>
  <c r="EO15" i="5"/>
  <c r="EO14" i="5"/>
  <c r="EO13" i="5"/>
  <c r="EO12" i="5"/>
  <c r="EO11" i="5"/>
  <c r="EO10" i="5"/>
  <c r="EO9" i="5"/>
  <c r="EO8" i="5"/>
  <c r="EO7" i="5"/>
  <c r="CP7" i="5"/>
  <c r="EP7" i="5"/>
  <c r="EP8" i="5"/>
  <c r="EP9" i="5"/>
  <c r="EP10" i="5"/>
  <c r="EP11" i="5"/>
  <c r="EP12" i="5"/>
  <c r="EP13" i="5"/>
  <c r="EP14" i="5"/>
  <c r="EP15" i="5"/>
  <c r="EP16" i="5"/>
  <c r="EP17" i="5"/>
  <c r="EP18" i="5"/>
  <c r="EP19" i="5"/>
  <c r="EP20" i="5"/>
  <c r="EP21" i="5"/>
  <c r="EP22" i="5"/>
  <c r="EP23" i="5"/>
  <c r="EP24" i="5"/>
  <c r="EP25" i="5"/>
  <c r="EP26" i="5"/>
  <c r="EP27" i="5"/>
  <c r="EP28" i="5"/>
  <c r="EP29" i="5"/>
  <c r="CQ8" i="5"/>
  <c r="EQ8" i="5"/>
  <c r="EQ9" i="5"/>
  <c r="EQ10" i="5"/>
  <c r="EQ11" i="5"/>
  <c r="EQ12" i="5"/>
  <c r="EQ13" i="5"/>
  <c r="EQ14" i="5"/>
  <c r="EQ15" i="5"/>
  <c r="EQ16" i="5"/>
  <c r="EQ17" i="5"/>
  <c r="EQ18" i="5"/>
  <c r="EQ19" i="5"/>
  <c r="EQ20" i="5"/>
  <c r="EQ21" i="5"/>
  <c r="EQ22" i="5"/>
  <c r="EQ23" i="5"/>
  <c r="EQ24" i="5"/>
  <c r="EQ25" i="5"/>
  <c r="EQ26" i="5"/>
  <c r="EQ27" i="5"/>
  <c r="EQ28" i="5"/>
  <c r="EQ29" i="5"/>
  <c r="CR9" i="5"/>
  <c r="ER9" i="5"/>
  <c r="ER10" i="5"/>
  <c r="ER11" i="5"/>
  <c r="ER12" i="5"/>
  <c r="ER13" i="5"/>
  <c r="ER14" i="5"/>
  <c r="ER15" i="5"/>
  <c r="ER16" i="5"/>
  <c r="ER17" i="5"/>
  <c r="ER18" i="5"/>
  <c r="ER19" i="5"/>
  <c r="ER20" i="5"/>
  <c r="ER21" i="5"/>
  <c r="ER22" i="5"/>
  <c r="ER23" i="5"/>
  <c r="ER24" i="5"/>
  <c r="ER25" i="5"/>
  <c r="ER26" i="5"/>
  <c r="ER27" i="5"/>
  <c r="ER28" i="5"/>
  <c r="ER29" i="5"/>
  <c r="CS10" i="5"/>
  <c r="ES10" i="5"/>
  <c r="ES11" i="5"/>
  <c r="ES12" i="5"/>
  <c r="ES13" i="5"/>
  <c r="ES14" i="5"/>
  <c r="ES15" i="5"/>
  <c r="ES16" i="5"/>
  <c r="ES17" i="5"/>
  <c r="ES18" i="5"/>
  <c r="ES19" i="5"/>
  <c r="ES20" i="5"/>
  <c r="ES21" i="5"/>
  <c r="ES22" i="5"/>
  <c r="ES23" i="5"/>
  <c r="ES24" i="5"/>
  <c r="ES25" i="5"/>
  <c r="ES26" i="5"/>
  <c r="ES27" i="5"/>
  <c r="ES28" i="5"/>
  <c r="ES29" i="5"/>
  <c r="CT11" i="5"/>
  <c r="ET11" i="5"/>
  <c r="ET12" i="5"/>
  <c r="ET13" i="5"/>
  <c r="ET14" i="5"/>
  <c r="ET15" i="5"/>
  <c r="ET16" i="5"/>
  <c r="ET17" i="5"/>
  <c r="ET18" i="5"/>
  <c r="ET19" i="5"/>
  <c r="ET20" i="5"/>
  <c r="ET21" i="5"/>
  <c r="ET22" i="5"/>
  <c r="ET23" i="5"/>
  <c r="ET24" i="5"/>
  <c r="ET25" i="5"/>
  <c r="ET26" i="5"/>
  <c r="ET27" i="5"/>
  <c r="ET28" i="5"/>
  <c r="ET29" i="5"/>
  <c r="CU12" i="5"/>
  <c r="E12" i="5"/>
  <c r="CU13" i="5"/>
  <c r="DU12" i="5"/>
  <c r="EU12" i="5"/>
  <c r="CU14" i="5"/>
  <c r="DU13" i="5"/>
  <c r="EU13" i="5"/>
  <c r="CU15" i="5"/>
  <c r="DU14" i="5"/>
  <c r="EU14" i="5"/>
  <c r="CU16" i="5"/>
  <c r="DU15" i="5"/>
  <c r="EU15" i="5"/>
  <c r="CU17" i="5"/>
  <c r="DU16" i="5"/>
  <c r="EU16" i="5"/>
  <c r="CU18" i="5"/>
  <c r="DU17" i="5"/>
  <c r="EU17" i="5"/>
  <c r="EU18" i="5"/>
  <c r="EU19" i="5"/>
  <c r="EU20" i="5"/>
  <c r="EU21" i="5"/>
  <c r="EU22" i="5"/>
  <c r="EU23" i="5"/>
  <c r="EU24" i="5"/>
  <c r="EU25" i="5"/>
  <c r="EU26" i="5"/>
  <c r="EU27" i="5"/>
  <c r="EU28" i="5"/>
  <c r="EU29" i="5"/>
  <c r="CV13" i="5"/>
  <c r="EV13" i="5"/>
  <c r="EV14" i="5"/>
  <c r="EV15" i="5"/>
  <c r="EV16" i="5"/>
  <c r="EV17" i="5"/>
  <c r="EV18" i="5"/>
  <c r="EV19" i="5"/>
  <c r="EV20" i="5"/>
  <c r="EV21" i="5"/>
  <c r="EV22" i="5"/>
  <c r="EV23" i="5"/>
  <c r="EV24" i="5"/>
  <c r="EV25" i="5"/>
  <c r="EV26" i="5"/>
  <c r="EV27" i="5"/>
  <c r="EV28" i="5"/>
  <c r="EV29" i="5"/>
  <c r="CW14" i="5"/>
  <c r="EW14" i="5"/>
  <c r="EW15" i="5"/>
  <c r="EW16" i="5"/>
  <c r="EW17" i="5"/>
  <c r="EW18" i="5"/>
  <c r="EW19" i="5"/>
  <c r="EW20" i="5"/>
  <c r="EW21" i="5"/>
  <c r="EW22" i="5"/>
  <c r="EW23" i="5"/>
  <c r="EW24" i="5"/>
  <c r="EW25" i="5"/>
  <c r="EW26" i="5"/>
  <c r="EW27" i="5"/>
  <c r="EW28" i="5"/>
  <c r="EW29" i="5"/>
  <c r="CX15" i="5"/>
  <c r="EX15" i="5"/>
  <c r="EX16" i="5"/>
  <c r="EX17" i="5"/>
  <c r="EX18" i="5"/>
  <c r="EX19" i="5"/>
  <c r="EX20" i="5"/>
  <c r="EX21" i="5"/>
  <c r="EX22" i="5"/>
  <c r="EX23" i="5"/>
  <c r="EX24" i="5"/>
  <c r="EX25" i="5"/>
  <c r="EX26" i="5"/>
  <c r="EX27" i="5"/>
  <c r="EX28" i="5"/>
  <c r="EX29" i="5"/>
  <c r="CY16" i="5"/>
  <c r="EY16" i="5"/>
  <c r="EY17" i="5"/>
  <c r="EY18" i="5"/>
  <c r="EY19" i="5"/>
  <c r="EY20" i="5"/>
  <c r="EY21" i="5"/>
  <c r="EY22" i="5"/>
  <c r="EY23" i="5"/>
  <c r="EY24" i="5"/>
  <c r="EY25" i="5"/>
  <c r="EY26" i="5"/>
  <c r="EY27" i="5"/>
  <c r="EY28" i="5"/>
  <c r="EY29" i="5"/>
  <c r="CZ17" i="5"/>
  <c r="EZ17" i="5"/>
  <c r="EZ18" i="5"/>
  <c r="EZ19" i="5"/>
  <c r="EZ20" i="5"/>
  <c r="EZ21" i="5"/>
  <c r="EZ22" i="5"/>
  <c r="EZ23" i="5"/>
  <c r="EZ24" i="5"/>
  <c r="EZ25" i="5"/>
  <c r="EZ26" i="5"/>
  <c r="EZ27" i="5"/>
  <c r="EZ28" i="5"/>
  <c r="EZ29" i="5"/>
  <c r="DA18" i="5"/>
  <c r="E18" i="5"/>
  <c r="DA19" i="5"/>
  <c r="EA18" i="5"/>
  <c r="FA18" i="5"/>
  <c r="DA20" i="5"/>
  <c r="EA19" i="5"/>
  <c r="FA19" i="5"/>
  <c r="DA21" i="5"/>
  <c r="EA20" i="5"/>
  <c r="FA20" i="5"/>
  <c r="DA22" i="5"/>
  <c r="EA21" i="5"/>
  <c r="FA21" i="5"/>
  <c r="DA23" i="5"/>
  <c r="EA22" i="5"/>
  <c r="FA22" i="5"/>
  <c r="DA24" i="5"/>
  <c r="EA23" i="5"/>
  <c r="FA23" i="5"/>
  <c r="FA24" i="5"/>
  <c r="FA25" i="5"/>
  <c r="FA26" i="5"/>
  <c r="FA27" i="5"/>
  <c r="FA28" i="5"/>
  <c r="FA29" i="5"/>
  <c r="DB19" i="5"/>
  <c r="FB19" i="5"/>
  <c r="FB20" i="5"/>
  <c r="FB21" i="5"/>
  <c r="FB22" i="5"/>
  <c r="FB23" i="5"/>
  <c r="FB24" i="5"/>
  <c r="FB25" i="5"/>
  <c r="FB26" i="5"/>
  <c r="FB27" i="5"/>
  <c r="FB28" i="5"/>
  <c r="FB29" i="5"/>
  <c r="DC20" i="5"/>
  <c r="FC20" i="5"/>
  <c r="FC21" i="5"/>
  <c r="FC22" i="5"/>
  <c r="FC23" i="5"/>
  <c r="FC24" i="5"/>
  <c r="FC25" i="5"/>
  <c r="FC26" i="5"/>
  <c r="FC27" i="5"/>
  <c r="FC28" i="5"/>
  <c r="FC29" i="5"/>
  <c r="DD21" i="5"/>
  <c r="FD21" i="5"/>
  <c r="FD22" i="5"/>
  <c r="FD23" i="5"/>
  <c r="FD24" i="5"/>
  <c r="FD25" i="5"/>
  <c r="FD26" i="5"/>
  <c r="FD27" i="5"/>
  <c r="FD28" i="5"/>
  <c r="FD29" i="5"/>
  <c r="DE22" i="5"/>
  <c r="FE22" i="5"/>
  <c r="FE23" i="5"/>
  <c r="FE24" i="5"/>
  <c r="FE25" i="5"/>
  <c r="FE26" i="5"/>
  <c r="FE27" i="5"/>
  <c r="FE28" i="5"/>
  <c r="FE29" i="5"/>
  <c r="DF23" i="5"/>
  <c r="DF24" i="5"/>
  <c r="EF23" i="5"/>
  <c r="FF23" i="5"/>
  <c r="DF25" i="5"/>
  <c r="EF24" i="5"/>
  <c r="FF24" i="5"/>
  <c r="DF26" i="5"/>
  <c r="EF25" i="5"/>
  <c r="FF25" i="5"/>
  <c r="DF27" i="5"/>
  <c r="EF26" i="5"/>
  <c r="FF26" i="5"/>
  <c r="DF28" i="5"/>
  <c r="EF27" i="5"/>
  <c r="FF27" i="5"/>
  <c r="DF29" i="5"/>
  <c r="EF28" i="5"/>
  <c r="FF28" i="5"/>
  <c r="DF30" i="5"/>
  <c r="EF29" i="5"/>
  <c r="FF29" i="5"/>
  <c r="DG24" i="5"/>
  <c r="E24" i="5"/>
  <c r="DG25" i="5"/>
  <c r="EG24" i="5"/>
  <c r="FG24" i="5"/>
  <c r="DG26" i="5"/>
  <c r="EG25" i="5"/>
  <c r="FG25" i="5"/>
  <c r="DG27" i="5"/>
  <c r="EG26" i="5"/>
  <c r="FG26" i="5"/>
  <c r="DG28" i="5"/>
  <c r="EG27" i="5"/>
  <c r="FG27" i="5"/>
  <c r="DG29" i="5"/>
  <c r="EG28" i="5"/>
  <c r="FG28" i="5"/>
  <c r="DG30" i="5"/>
  <c r="EG29" i="5"/>
  <c r="FG29" i="5"/>
  <c r="DH25" i="5"/>
  <c r="FH25" i="5"/>
  <c r="FH26" i="5"/>
  <c r="FH27" i="5"/>
  <c r="FH28" i="5"/>
  <c r="FH29" i="5"/>
  <c r="DI26" i="5"/>
  <c r="FI26" i="5"/>
  <c r="FI27" i="5"/>
  <c r="FI28" i="5"/>
  <c r="FI29" i="5"/>
  <c r="DJ27" i="5"/>
  <c r="FJ27" i="5"/>
  <c r="FJ28" i="5"/>
  <c r="FJ29" i="5"/>
  <c r="DK28" i="5"/>
  <c r="FK28" i="5"/>
  <c r="FK29" i="5"/>
  <c r="FR6" i="5"/>
  <c r="FR7" i="5"/>
  <c r="FR8" i="5"/>
  <c r="FR9" i="5"/>
  <c r="FR10" i="5"/>
  <c r="FR11" i="5"/>
  <c r="FR12" i="5"/>
  <c r="FR13" i="5"/>
  <c r="FR14" i="5"/>
  <c r="FR15" i="5"/>
  <c r="FR16" i="5"/>
  <c r="FR17" i="5"/>
  <c r="FR18" i="5"/>
  <c r="FR19" i="5"/>
  <c r="FR20" i="5"/>
  <c r="FR21" i="5"/>
  <c r="FR22" i="5"/>
  <c r="FR23" i="5"/>
  <c r="FR24" i="5"/>
  <c r="FR25" i="5"/>
  <c r="FR26" i="5"/>
  <c r="FR27" i="5"/>
  <c r="FR28" i="5"/>
  <c r="FR29" i="5"/>
  <c r="S5" i="2"/>
  <c r="H6" i="5"/>
  <c r="S6" i="2"/>
  <c r="S7" i="2"/>
  <c r="S8" i="2"/>
  <c r="S9" i="2"/>
  <c r="S10" i="2"/>
  <c r="S11" i="2"/>
  <c r="S12" i="2"/>
  <c r="S13" i="2"/>
  <c r="S14" i="2"/>
  <c r="S15" i="2"/>
  <c r="S16" i="2"/>
  <c r="S17" i="2"/>
  <c r="S18" i="2"/>
  <c r="S19" i="2"/>
  <c r="S20" i="2"/>
  <c r="S21" i="2"/>
  <c r="S22" i="2"/>
  <c r="E7" i="5"/>
  <c r="CP8" i="5"/>
  <c r="DP7" i="5"/>
  <c r="CT12" i="5"/>
  <c r="E11" i="5"/>
  <c r="DT11" i="5"/>
  <c r="CT13" i="5"/>
  <c r="DT12" i="5"/>
  <c r="CT14" i="5"/>
  <c r="DT13" i="5"/>
  <c r="CV14" i="5"/>
  <c r="E13" i="5"/>
  <c r="DV13" i="5"/>
  <c r="CV15" i="5"/>
  <c r="DV14" i="5"/>
  <c r="CV16" i="5"/>
  <c r="DV15" i="5"/>
  <c r="E15" i="5"/>
  <c r="CX16" i="5"/>
  <c r="DX15" i="5"/>
  <c r="CX17" i="5"/>
  <c r="DX16" i="5"/>
  <c r="CX18" i="5"/>
  <c r="DX17" i="5"/>
  <c r="CX19" i="5"/>
  <c r="DX18" i="5"/>
  <c r="CX20" i="5"/>
  <c r="DX19" i="5"/>
  <c r="CX21" i="5"/>
  <c r="DX20" i="5"/>
  <c r="CX22" i="5"/>
  <c r="DX21" i="5"/>
  <c r="CY17" i="5"/>
  <c r="E16" i="5"/>
  <c r="DY16" i="5"/>
  <c r="CY18" i="5"/>
  <c r="DY17" i="5"/>
  <c r="CY19" i="5"/>
  <c r="DY18" i="5"/>
  <c r="CY20" i="5"/>
  <c r="DY19" i="5"/>
  <c r="CY21" i="5"/>
  <c r="DY20" i="5"/>
  <c r="CY22" i="5"/>
  <c r="DY21" i="5"/>
  <c r="CY23" i="5"/>
  <c r="DY22" i="5"/>
  <c r="CY24" i="5"/>
  <c r="DY23" i="5"/>
  <c r="CZ18" i="5"/>
  <c r="E17" i="5"/>
  <c r="DZ17" i="5"/>
  <c r="CZ19" i="5"/>
  <c r="DZ18" i="5"/>
  <c r="CZ20" i="5"/>
  <c r="DZ19" i="5"/>
  <c r="CZ21" i="5"/>
  <c r="DZ20" i="5"/>
  <c r="CZ22" i="5"/>
  <c r="DZ21" i="5"/>
  <c r="CZ23" i="5"/>
  <c r="DZ22" i="5"/>
  <c r="E20" i="5"/>
  <c r="DC21" i="5"/>
  <c r="EC20" i="5"/>
  <c r="DC22" i="5"/>
  <c r="EC21" i="5"/>
  <c r="DC23" i="5"/>
  <c r="EC22" i="5"/>
  <c r="DC24" i="5"/>
  <c r="EC23" i="5"/>
  <c r="DD22" i="5"/>
  <c r="E21" i="5"/>
  <c r="ED21" i="5"/>
  <c r="DD23" i="5"/>
  <c r="ED22" i="5"/>
  <c r="DD24" i="5"/>
  <c r="ED23" i="5"/>
  <c r="DE23" i="5"/>
  <c r="E22" i="5"/>
  <c r="EE22" i="5"/>
  <c r="DE24" i="5"/>
  <c r="EE23" i="5"/>
  <c r="CM31" i="5"/>
  <c r="CM30" i="5"/>
  <c r="J29" i="5"/>
  <c r="J6" i="5"/>
  <c r="J7" i="5"/>
  <c r="AJ6" i="5"/>
  <c r="J8" i="5"/>
  <c r="AJ7" i="5"/>
  <c r="J9" i="5"/>
  <c r="AJ8" i="5"/>
  <c r="J10" i="5"/>
  <c r="AJ9" i="5"/>
  <c r="J11" i="5"/>
  <c r="AJ10" i="5"/>
  <c r="J12" i="5"/>
  <c r="AJ11" i="5"/>
  <c r="J13" i="5"/>
  <c r="AJ12" i="5"/>
  <c r="J14" i="5"/>
  <c r="AJ13" i="5"/>
  <c r="J15" i="5"/>
  <c r="AJ14" i="5"/>
  <c r="J16" i="5"/>
  <c r="AJ15" i="5"/>
  <c r="J17" i="5"/>
  <c r="AJ16" i="5"/>
  <c r="J18" i="5"/>
  <c r="AJ17" i="5"/>
  <c r="J19" i="5"/>
  <c r="AJ18" i="5"/>
  <c r="J20" i="5"/>
  <c r="AJ19" i="5"/>
  <c r="J21" i="5"/>
  <c r="AJ20" i="5"/>
  <c r="J22" i="5"/>
  <c r="AJ21" i="5"/>
  <c r="J23" i="5"/>
  <c r="AJ22" i="5"/>
  <c r="J24" i="5"/>
  <c r="AJ23" i="5"/>
  <c r="J25" i="5"/>
  <c r="AJ24" i="5"/>
  <c r="J26" i="5"/>
  <c r="AJ25" i="5"/>
  <c r="J27" i="5"/>
  <c r="AJ26" i="5"/>
  <c r="J28" i="5"/>
  <c r="AJ27" i="5"/>
  <c r="AJ28" i="5"/>
  <c r="J30" i="5"/>
  <c r="AJ29" i="5"/>
  <c r="BJ29" i="5"/>
  <c r="BJ28" i="5"/>
  <c r="BJ27" i="5"/>
  <c r="BJ26" i="5"/>
  <c r="BJ25" i="5"/>
  <c r="BJ24" i="5"/>
  <c r="BJ23" i="5"/>
  <c r="BJ22" i="5"/>
  <c r="BJ21" i="5"/>
  <c r="BJ20" i="5"/>
  <c r="BJ19" i="5"/>
  <c r="BJ18" i="5"/>
  <c r="BJ17" i="5"/>
  <c r="BJ16" i="5"/>
  <c r="BJ15" i="5"/>
  <c r="BJ14" i="5"/>
  <c r="BJ13" i="5"/>
  <c r="BJ12" i="5"/>
  <c r="BJ11" i="5"/>
  <c r="BJ10" i="5"/>
  <c r="BJ9" i="5"/>
  <c r="BJ8" i="5"/>
  <c r="BJ7" i="5"/>
  <c r="K7" i="5"/>
  <c r="BK7" i="5"/>
  <c r="BK8" i="5"/>
  <c r="BK9" i="5"/>
  <c r="BK10" i="5"/>
  <c r="BK11" i="5"/>
  <c r="BK12" i="5"/>
  <c r="BK13" i="5"/>
  <c r="BK14" i="5"/>
  <c r="BK15" i="5"/>
  <c r="BK16" i="5"/>
  <c r="BK17" i="5"/>
  <c r="BK18" i="5"/>
  <c r="BK19" i="5"/>
  <c r="BK20" i="5"/>
  <c r="BK21" i="5"/>
  <c r="BK22" i="5"/>
  <c r="BK23" i="5"/>
  <c r="BK24" i="5"/>
  <c r="BK25" i="5"/>
  <c r="BK26" i="5"/>
  <c r="BK27" i="5"/>
  <c r="BK28" i="5"/>
  <c r="BK29" i="5"/>
  <c r="L8" i="5"/>
  <c r="BL8" i="5"/>
  <c r="BL9" i="5"/>
  <c r="BL10" i="5"/>
  <c r="BL11" i="5"/>
  <c r="BL12" i="5"/>
  <c r="BL13" i="5"/>
  <c r="BL14" i="5"/>
  <c r="BL15" i="5"/>
  <c r="BL16" i="5"/>
  <c r="BL17" i="5"/>
  <c r="BL18" i="5"/>
  <c r="BL19" i="5"/>
  <c r="BL20" i="5"/>
  <c r="BL21" i="5"/>
  <c r="BL22" i="5"/>
  <c r="BL23" i="5"/>
  <c r="BL24" i="5"/>
  <c r="BL25" i="5"/>
  <c r="BL26" i="5"/>
  <c r="BL27" i="5"/>
  <c r="BL28" i="5"/>
  <c r="BL29" i="5"/>
  <c r="M9" i="5"/>
  <c r="BM9" i="5"/>
  <c r="BM10" i="5"/>
  <c r="BM11" i="5"/>
  <c r="BM12" i="5"/>
  <c r="BM13" i="5"/>
  <c r="BM14" i="5"/>
  <c r="BM15" i="5"/>
  <c r="BM16" i="5"/>
  <c r="BM17" i="5"/>
  <c r="BM18" i="5"/>
  <c r="BM19" i="5"/>
  <c r="BM20" i="5"/>
  <c r="BM21" i="5"/>
  <c r="BM22" i="5"/>
  <c r="BM23" i="5"/>
  <c r="BM24" i="5"/>
  <c r="BM25" i="5"/>
  <c r="BM26" i="5"/>
  <c r="BM27" i="5"/>
  <c r="BM28" i="5"/>
  <c r="BM29" i="5"/>
  <c r="N10" i="5"/>
  <c r="BN10" i="5"/>
  <c r="BN11" i="5"/>
  <c r="BN12" i="5"/>
  <c r="BN13" i="5"/>
  <c r="BN14" i="5"/>
  <c r="BN15" i="5"/>
  <c r="BN16" i="5"/>
  <c r="BN17" i="5"/>
  <c r="BN18" i="5"/>
  <c r="BN19" i="5"/>
  <c r="BN20" i="5"/>
  <c r="BN21" i="5"/>
  <c r="BN22" i="5"/>
  <c r="BN23" i="5"/>
  <c r="BN24" i="5"/>
  <c r="BN25" i="5"/>
  <c r="BN26" i="5"/>
  <c r="BN27" i="5"/>
  <c r="BN28" i="5"/>
  <c r="BN29" i="5"/>
  <c r="O11" i="5"/>
  <c r="BO11" i="5"/>
  <c r="BO12" i="5"/>
  <c r="BO13" i="5"/>
  <c r="BO14" i="5"/>
  <c r="BO15" i="5"/>
  <c r="BO16" i="5"/>
  <c r="BO17" i="5"/>
  <c r="BO18" i="5"/>
  <c r="BO19" i="5"/>
  <c r="BO20" i="5"/>
  <c r="BO21" i="5"/>
  <c r="BO22" i="5"/>
  <c r="BO23" i="5"/>
  <c r="BO24" i="5"/>
  <c r="BO25" i="5"/>
  <c r="BO26" i="5"/>
  <c r="BO27" i="5"/>
  <c r="BO28" i="5"/>
  <c r="BO29" i="5"/>
  <c r="P12" i="5"/>
  <c r="P13" i="5"/>
  <c r="AP12" i="5"/>
  <c r="BP12" i="5"/>
  <c r="P14" i="5"/>
  <c r="AP13" i="5"/>
  <c r="BP13" i="5"/>
  <c r="P15" i="5"/>
  <c r="AP14" i="5"/>
  <c r="BP14" i="5"/>
  <c r="P16" i="5"/>
  <c r="AP15" i="5"/>
  <c r="BP15" i="5"/>
  <c r="P17" i="5"/>
  <c r="AP16" i="5"/>
  <c r="BP16" i="5"/>
  <c r="P18" i="5"/>
  <c r="AP17" i="5"/>
  <c r="BP17" i="5"/>
  <c r="BP18" i="5"/>
  <c r="BP19" i="5"/>
  <c r="BP20" i="5"/>
  <c r="BP21" i="5"/>
  <c r="BP22" i="5"/>
  <c r="BP23" i="5"/>
  <c r="BP24" i="5"/>
  <c r="BP25" i="5"/>
  <c r="BP26" i="5"/>
  <c r="BP27" i="5"/>
  <c r="BP28" i="5"/>
  <c r="BP29" i="5"/>
  <c r="Q13" i="5"/>
  <c r="BQ13" i="5"/>
  <c r="BQ14" i="5"/>
  <c r="BQ15" i="5"/>
  <c r="BQ16" i="5"/>
  <c r="BQ17" i="5"/>
  <c r="BQ18" i="5"/>
  <c r="BQ19" i="5"/>
  <c r="BQ20" i="5"/>
  <c r="BQ21" i="5"/>
  <c r="BQ22" i="5"/>
  <c r="BQ23" i="5"/>
  <c r="BQ24" i="5"/>
  <c r="BQ25" i="5"/>
  <c r="BQ26" i="5"/>
  <c r="BQ27" i="5"/>
  <c r="BQ28" i="5"/>
  <c r="BQ29" i="5"/>
  <c r="R14" i="5"/>
  <c r="BR14" i="5"/>
  <c r="BR15" i="5"/>
  <c r="BR16" i="5"/>
  <c r="BR17" i="5"/>
  <c r="BR18" i="5"/>
  <c r="BR19" i="5"/>
  <c r="BR20" i="5"/>
  <c r="BR21" i="5"/>
  <c r="BR22" i="5"/>
  <c r="BR23" i="5"/>
  <c r="BR24" i="5"/>
  <c r="BR25" i="5"/>
  <c r="BR26" i="5"/>
  <c r="BR27" i="5"/>
  <c r="BR28" i="5"/>
  <c r="BR29" i="5"/>
  <c r="S15" i="5"/>
  <c r="BS15" i="5"/>
  <c r="BS16" i="5"/>
  <c r="BS17" i="5"/>
  <c r="BS18" i="5"/>
  <c r="BS19" i="5"/>
  <c r="BS20" i="5"/>
  <c r="BS21" i="5"/>
  <c r="BS22" i="5"/>
  <c r="BS23" i="5"/>
  <c r="BS24" i="5"/>
  <c r="BS25" i="5"/>
  <c r="BS26" i="5"/>
  <c r="BS27" i="5"/>
  <c r="BS28" i="5"/>
  <c r="BS29" i="5"/>
  <c r="T16" i="5"/>
  <c r="BT16" i="5"/>
  <c r="BT17" i="5"/>
  <c r="BT18" i="5"/>
  <c r="BT19" i="5"/>
  <c r="BT20" i="5"/>
  <c r="BT21" i="5"/>
  <c r="BT22" i="5"/>
  <c r="BT23" i="5"/>
  <c r="BT24" i="5"/>
  <c r="BT25" i="5"/>
  <c r="BT26" i="5"/>
  <c r="BT27" i="5"/>
  <c r="BT28" i="5"/>
  <c r="BT29" i="5"/>
  <c r="U17" i="5"/>
  <c r="BU17" i="5"/>
  <c r="BU18" i="5"/>
  <c r="BU19" i="5"/>
  <c r="BU20" i="5"/>
  <c r="BU21" i="5"/>
  <c r="BU22" i="5"/>
  <c r="BU23" i="5"/>
  <c r="BU24" i="5"/>
  <c r="BU25" i="5"/>
  <c r="BU26" i="5"/>
  <c r="BU27" i="5"/>
  <c r="BU28" i="5"/>
  <c r="BU29" i="5"/>
  <c r="V18" i="5"/>
  <c r="V19" i="5"/>
  <c r="AV18" i="5"/>
  <c r="BV18" i="5"/>
  <c r="V20" i="5"/>
  <c r="AV19" i="5"/>
  <c r="BV19" i="5"/>
  <c r="V21" i="5"/>
  <c r="AV20" i="5"/>
  <c r="BV20" i="5"/>
  <c r="V22" i="5"/>
  <c r="AV21" i="5"/>
  <c r="BV21" i="5"/>
  <c r="V23" i="5"/>
  <c r="AV22" i="5"/>
  <c r="BV22" i="5"/>
  <c r="V24" i="5"/>
  <c r="AV23" i="5"/>
  <c r="BV23" i="5"/>
  <c r="BV24" i="5"/>
  <c r="BV25" i="5"/>
  <c r="BV26" i="5"/>
  <c r="BV27" i="5"/>
  <c r="BV28" i="5"/>
  <c r="BV29" i="5"/>
  <c r="W19" i="5"/>
  <c r="BW19" i="5"/>
  <c r="BW20" i="5"/>
  <c r="BW21" i="5"/>
  <c r="BW22" i="5"/>
  <c r="BW23" i="5"/>
  <c r="BW24" i="5"/>
  <c r="BW25" i="5"/>
  <c r="BW26" i="5"/>
  <c r="BW27" i="5"/>
  <c r="BW28" i="5"/>
  <c r="BW29" i="5"/>
  <c r="X20" i="5"/>
  <c r="BX20" i="5"/>
  <c r="BX21" i="5"/>
  <c r="BX22" i="5"/>
  <c r="BX23" i="5"/>
  <c r="BX24" i="5"/>
  <c r="BX25" i="5"/>
  <c r="BX26" i="5"/>
  <c r="BX27" i="5"/>
  <c r="BX28" i="5"/>
  <c r="BX29" i="5"/>
  <c r="Y21" i="5"/>
  <c r="BY21" i="5"/>
  <c r="BY22" i="5"/>
  <c r="BY23" i="5"/>
  <c r="BY24" i="5"/>
  <c r="BY25" i="5"/>
  <c r="BY26" i="5"/>
  <c r="BY27" i="5"/>
  <c r="BY28" i="5"/>
  <c r="BY29" i="5"/>
  <c r="Z22" i="5"/>
  <c r="BZ22" i="5"/>
  <c r="BZ23" i="5"/>
  <c r="BZ24" i="5"/>
  <c r="BZ25" i="5"/>
  <c r="BZ26" i="5"/>
  <c r="BZ27" i="5"/>
  <c r="BZ28" i="5"/>
  <c r="BZ29" i="5"/>
  <c r="AA23" i="5"/>
  <c r="AA24" i="5"/>
  <c r="BA23" i="5"/>
  <c r="CA23" i="5"/>
  <c r="AA25" i="5"/>
  <c r="BA24" i="5"/>
  <c r="CA24" i="5"/>
  <c r="AA26" i="5"/>
  <c r="BA25" i="5"/>
  <c r="CA25" i="5"/>
  <c r="AA27" i="5"/>
  <c r="BA26" i="5"/>
  <c r="CA26" i="5"/>
  <c r="AA28" i="5"/>
  <c r="BA27" i="5"/>
  <c r="CA27" i="5"/>
  <c r="AA29" i="5"/>
  <c r="BA28" i="5"/>
  <c r="CA28" i="5"/>
  <c r="AA30" i="5"/>
  <c r="BA29" i="5"/>
  <c r="CA29" i="5"/>
  <c r="AB24" i="5"/>
  <c r="AB25" i="5"/>
  <c r="BB24" i="5"/>
  <c r="CB24" i="5"/>
  <c r="AB26" i="5"/>
  <c r="BB25" i="5"/>
  <c r="CB25" i="5"/>
  <c r="AB27" i="5"/>
  <c r="BB26" i="5"/>
  <c r="CB26" i="5"/>
  <c r="AB28" i="5"/>
  <c r="BB27" i="5"/>
  <c r="CB27" i="5"/>
  <c r="AB29" i="5"/>
  <c r="BB28" i="5"/>
  <c r="CB28" i="5"/>
  <c r="AB30" i="5"/>
  <c r="BB29" i="5"/>
  <c r="CB29" i="5"/>
  <c r="AC25" i="5"/>
  <c r="CC25" i="5"/>
  <c r="CC26" i="5"/>
  <c r="CC27" i="5"/>
  <c r="CC28" i="5"/>
  <c r="CC29" i="5"/>
  <c r="AD26" i="5"/>
  <c r="CD26" i="5"/>
  <c r="CD27" i="5"/>
  <c r="CD28" i="5"/>
  <c r="CD29" i="5"/>
  <c r="AE27" i="5"/>
  <c r="CE27" i="5"/>
  <c r="CE28" i="5"/>
  <c r="CE29" i="5"/>
  <c r="AF28" i="5"/>
  <c r="CF28" i="5"/>
  <c r="CF29" i="5"/>
  <c r="CM6" i="5"/>
  <c r="CM7" i="5"/>
  <c r="CM8" i="5"/>
  <c r="CM9" i="5"/>
  <c r="CM10" i="5"/>
  <c r="CM11" i="5"/>
  <c r="CM12" i="5"/>
  <c r="CM13" i="5"/>
  <c r="CM14" i="5"/>
  <c r="CM15" i="5"/>
  <c r="CM16" i="5"/>
  <c r="CM17" i="5"/>
  <c r="CM18" i="5"/>
  <c r="CM19" i="5"/>
  <c r="CM20" i="5"/>
  <c r="CM21" i="5"/>
  <c r="CM22" i="5"/>
  <c r="CM23" i="5"/>
  <c r="CM24" i="5"/>
  <c r="CM25" i="5"/>
  <c r="CM26" i="5"/>
  <c r="CM27" i="5"/>
  <c r="CM28" i="5"/>
  <c r="CM29" i="5"/>
  <c r="K8" i="5"/>
  <c r="AK7" i="5"/>
  <c r="O12" i="5"/>
  <c r="AO11" i="5"/>
  <c r="O13" i="5"/>
  <c r="AO12" i="5"/>
  <c r="O14" i="5"/>
  <c r="AO13" i="5"/>
  <c r="Q14" i="5"/>
  <c r="AQ13" i="5"/>
  <c r="Q15" i="5"/>
  <c r="AQ14" i="5"/>
  <c r="Q16" i="5"/>
  <c r="AQ15" i="5"/>
  <c r="E14" i="5"/>
  <c r="R15" i="5"/>
  <c r="AR14" i="5"/>
  <c r="R16" i="5"/>
  <c r="AR15" i="5"/>
  <c r="R17" i="5"/>
  <c r="AR16" i="5"/>
  <c r="S16" i="5"/>
  <c r="AS15" i="5"/>
  <c r="S17" i="5"/>
  <c r="AS16" i="5"/>
  <c r="S18" i="5"/>
  <c r="AS17" i="5"/>
  <c r="S19" i="5"/>
  <c r="AS18" i="5"/>
  <c r="S20" i="5"/>
  <c r="AS19" i="5"/>
  <c r="T17" i="5"/>
  <c r="AT16" i="5"/>
  <c r="T18" i="5"/>
  <c r="AT17" i="5"/>
  <c r="T19" i="5"/>
  <c r="AT18" i="5"/>
  <c r="T20" i="5"/>
  <c r="AT19" i="5"/>
  <c r="T21" i="5"/>
  <c r="AT20" i="5"/>
  <c r="U18" i="5"/>
  <c r="AU17" i="5"/>
  <c r="U19" i="5"/>
  <c r="AU18" i="5"/>
  <c r="U20" i="5"/>
  <c r="AU19" i="5"/>
  <c r="U21" i="5"/>
  <c r="AU20" i="5"/>
  <c r="U22" i="5"/>
  <c r="AU21" i="5"/>
  <c r="U23" i="5"/>
  <c r="AU22" i="5"/>
  <c r="E19" i="5"/>
  <c r="W20" i="5"/>
  <c r="AW19" i="5"/>
  <c r="W21" i="5"/>
  <c r="AW20" i="5"/>
  <c r="W22" i="5"/>
  <c r="AW21" i="5"/>
  <c r="W23" i="5"/>
  <c r="AW22" i="5"/>
  <c r="W24" i="5"/>
  <c r="AW23" i="5"/>
  <c r="X21" i="5"/>
  <c r="AX20" i="5"/>
  <c r="X22" i="5"/>
  <c r="AX21" i="5"/>
  <c r="X23" i="5"/>
  <c r="AX22" i="5"/>
  <c r="X24" i="5"/>
  <c r="AX23" i="5"/>
  <c r="Z23" i="5"/>
  <c r="AZ22" i="5"/>
  <c r="Z24" i="5"/>
  <c r="AZ23" i="5"/>
  <c r="J7" i="11"/>
  <c r="J6" i="11"/>
  <c r="L6" i="11"/>
  <c r="S23" i="2"/>
  <c r="S24" i="2"/>
  <c r="S25" i="2"/>
  <c r="S26" i="2"/>
  <c r="S27" i="2"/>
  <c r="R28" i="2"/>
  <c r="C33" i="1"/>
  <c r="D33" i="1"/>
  <c r="B31" i="5"/>
  <c r="C31" i="5"/>
  <c r="EN31" i="5"/>
  <c r="EM30" i="5"/>
  <c r="E29" i="5"/>
  <c r="DL29" i="5"/>
  <c r="DL30" i="5"/>
  <c r="EL29" i="5"/>
  <c r="E28" i="5"/>
  <c r="DK29" i="5"/>
  <c r="EK28" i="5"/>
  <c r="E27" i="5"/>
  <c r="DJ28" i="5"/>
  <c r="EJ27" i="5"/>
  <c r="E26" i="5"/>
  <c r="DI27" i="5"/>
  <c r="EI26" i="5"/>
  <c r="E25" i="5"/>
  <c r="DH26" i="5"/>
  <c r="EH25" i="5"/>
  <c r="E23" i="5"/>
  <c r="DB20" i="5"/>
  <c r="EB19" i="5"/>
  <c r="CW15" i="5"/>
  <c r="DW14" i="5"/>
  <c r="E10" i="5"/>
  <c r="CS11" i="5"/>
  <c r="DS10" i="5"/>
  <c r="E9" i="5"/>
  <c r="CR10" i="5"/>
  <c r="DR9" i="5"/>
  <c r="E8" i="5"/>
  <c r="CQ9" i="5"/>
  <c r="DQ8" i="5"/>
  <c r="BI31" i="5"/>
  <c r="BH30" i="5"/>
  <c r="AG29" i="5"/>
  <c r="AG30" i="5"/>
  <c r="BG29" i="5"/>
  <c r="AF29" i="5"/>
  <c r="BF28" i="5"/>
  <c r="AE28" i="5"/>
  <c r="BE27" i="5"/>
  <c r="AD27" i="5"/>
  <c r="BD26" i="5"/>
  <c r="AC26" i="5"/>
  <c r="BC25" i="5"/>
  <c r="Y22" i="5"/>
  <c r="AY21" i="5"/>
  <c r="N11" i="5"/>
  <c r="AN10" i="5"/>
  <c r="M10" i="5"/>
  <c r="AM9" i="5"/>
  <c r="L9" i="5"/>
  <c r="AL8" i="5"/>
  <c r="C8" i="1"/>
  <c r="AY7" i="11"/>
  <c r="L8" i="6"/>
  <c r="D10" i="15"/>
  <c r="D12" i="15"/>
  <c r="FQ31" i="5"/>
  <c r="FQ30" i="5"/>
  <c r="CP9" i="5"/>
  <c r="DP8" i="5"/>
  <c r="CP10" i="5"/>
  <c r="DP9" i="5"/>
  <c r="CP11" i="5"/>
  <c r="DP10" i="5"/>
  <c r="CP12" i="5"/>
  <c r="DP11" i="5"/>
  <c r="CP13" i="5"/>
  <c r="DP12" i="5"/>
  <c r="CP14" i="5"/>
  <c r="DP13" i="5"/>
  <c r="CP15" i="5"/>
  <c r="DP14" i="5"/>
  <c r="CP16" i="5"/>
  <c r="DP15" i="5"/>
  <c r="CP17" i="5"/>
  <c r="DP16" i="5"/>
  <c r="CP18" i="5"/>
  <c r="DP17" i="5"/>
  <c r="CP19" i="5"/>
  <c r="DP18" i="5"/>
  <c r="CP20" i="5"/>
  <c r="DP19" i="5"/>
  <c r="CP21" i="5"/>
  <c r="DP20" i="5"/>
  <c r="CP22" i="5"/>
  <c r="DP21" i="5"/>
  <c r="CP23" i="5"/>
  <c r="DP22" i="5"/>
  <c r="CP24" i="5"/>
  <c r="DP23" i="5"/>
  <c r="CP25" i="5"/>
  <c r="DP24" i="5"/>
  <c r="CP26" i="5"/>
  <c r="DP25" i="5"/>
  <c r="CP27" i="5"/>
  <c r="DP26" i="5"/>
  <c r="CP28" i="5"/>
  <c r="DP27" i="5"/>
  <c r="CP29" i="5"/>
  <c r="DP28" i="5"/>
  <c r="CP30" i="5"/>
  <c r="DP29" i="5"/>
  <c r="CQ10" i="5"/>
  <c r="DQ9" i="5"/>
  <c r="CQ11" i="5"/>
  <c r="DQ10" i="5"/>
  <c r="CQ12" i="5"/>
  <c r="DQ11" i="5"/>
  <c r="CQ13" i="5"/>
  <c r="DQ12" i="5"/>
  <c r="CQ14" i="5"/>
  <c r="DQ13" i="5"/>
  <c r="CQ15" i="5"/>
  <c r="DQ14" i="5"/>
  <c r="CQ16" i="5"/>
  <c r="DQ15" i="5"/>
  <c r="CQ17" i="5"/>
  <c r="DQ16" i="5"/>
  <c r="CQ18" i="5"/>
  <c r="DQ17" i="5"/>
  <c r="CQ19" i="5"/>
  <c r="DQ18" i="5"/>
  <c r="CQ20" i="5"/>
  <c r="DQ19" i="5"/>
  <c r="CQ21" i="5"/>
  <c r="DQ20" i="5"/>
  <c r="CQ22" i="5"/>
  <c r="DQ21" i="5"/>
  <c r="CQ23" i="5"/>
  <c r="DQ22" i="5"/>
  <c r="CQ24" i="5"/>
  <c r="DQ23" i="5"/>
  <c r="CQ25" i="5"/>
  <c r="DQ24" i="5"/>
  <c r="CQ26" i="5"/>
  <c r="DQ25" i="5"/>
  <c r="CQ27" i="5"/>
  <c r="DQ26" i="5"/>
  <c r="CQ28" i="5"/>
  <c r="DQ27" i="5"/>
  <c r="CQ29" i="5"/>
  <c r="DQ28" i="5"/>
  <c r="CQ30" i="5"/>
  <c r="DQ29" i="5"/>
  <c r="CR11" i="5"/>
  <c r="DR10" i="5"/>
  <c r="CR12" i="5"/>
  <c r="DR11" i="5"/>
  <c r="CR13" i="5"/>
  <c r="DR12" i="5"/>
  <c r="CR14" i="5"/>
  <c r="DR13" i="5"/>
  <c r="CR15" i="5"/>
  <c r="DR14" i="5"/>
  <c r="CR16" i="5"/>
  <c r="DR15" i="5"/>
  <c r="CR17" i="5"/>
  <c r="DR16" i="5"/>
  <c r="CR18" i="5"/>
  <c r="DR17" i="5"/>
  <c r="CR19" i="5"/>
  <c r="DR18" i="5"/>
  <c r="CR20" i="5"/>
  <c r="DR19" i="5"/>
  <c r="CR21" i="5"/>
  <c r="DR20" i="5"/>
  <c r="CR22" i="5"/>
  <c r="DR21" i="5"/>
  <c r="CR23" i="5"/>
  <c r="DR22" i="5"/>
  <c r="CR24" i="5"/>
  <c r="DR23" i="5"/>
  <c r="CR25" i="5"/>
  <c r="DR24" i="5"/>
  <c r="CR26" i="5"/>
  <c r="DR25" i="5"/>
  <c r="CR27" i="5"/>
  <c r="DR26" i="5"/>
  <c r="CR28" i="5"/>
  <c r="DR27" i="5"/>
  <c r="CR29" i="5"/>
  <c r="DR28" i="5"/>
  <c r="CR30" i="5"/>
  <c r="DR29" i="5"/>
  <c r="CS12" i="5"/>
  <c r="DS11" i="5"/>
  <c r="CS13" i="5"/>
  <c r="DS12" i="5"/>
  <c r="CS14" i="5"/>
  <c r="DS13" i="5"/>
  <c r="CS15" i="5"/>
  <c r="DS14" i="5"/>
  <c r="CS16" i="5"/>
  <c r="DS15" i="5"/>
  <c r="CS17" i="5"/>
  <c r="DS16" i="5"/>
  <c r="CS18" i="5"/>
  <c r="DS17" i="5"/>
  <c r="CS19" i="5"/>
  <c r="DS18" i="5"/>
  <c r="CS20" i="5"/>
  <c r="DS19" i="5"/>
  <c r="CS21" i="5"/>
  <c r="DS20" i="5"/>
  <c r="CS22" i="5"/>
  <c r="DS21" i="5"/>
  <c r="CS23" i="5"/>
  <c r="DS22" i="5"/>
  <c r="CS24" i="5"/>
  <c r="DS23" i="5"/>
  <c r="CS25" i="5"/>
  <c r="DS24" i="5"/>
  <c r="CS26" i="5"/>
  <c r="DS25" i="5"/>
  <c r="CS27" i="5"/>
  <c r="DS26" i="5"/>
  <c r="CS28" i="5"/>
  <c r="DS27" i="5"/>
  <c r="CS29" i="5"/>
  <c r="DS28" i="5"/>
  <c r="CS30" i="5"/>
  <c r="DS29" i="5"/>
  <c r="CT15" i="5"/>
  <c r="DT14" i="5"/>
  <c r="CT16" i="5"/>
  <c r="DT15" i="5"/>
  <c r="CT17" i="5"/>
  <c r="DT16" i="5"/>
  <c r="CT18" i="5"/>
  <c r="DT17" i="5"/>
  <c r="CT19" i="5"/>
  <c r="DT18" i="5"/>
  <c r="CT20" i="5"/>
  <c r="DT19" i="5"/>
  <c r="CT21" i="5"/>
  <c r="DT20" i="5"/>
  <c r="CT22" i="5"/>
  <c r="DT21" i="5"/>
  <c r="CT23" i="5"/>
  <c r="DT22" i="5"/>
  <c r="CT24" i="5"/>
  <c r="DT23" i="5"/>
  <c r="CT25" i="5"/>
  <c r="DT24" i="5"/>
  <c r="CT26" i="5"/>
  <c r="DT25" i="5"/>
  <c r="CT27" i="5"/>
  <c r="DT26" i="5"/>
  <c r="CT28" i="5"/>
  <c r="DT27" i="5"/>
  <c r="CT29" i="5"/>
  <c r="DT28" i="5"/>
  <c r="CT30" i="5"/>
  <c r="DT29" i="5"/>
  <c r="CU19" i="5"/>
  <c r="DU18" i="5"/>
  <c r="CU20" i="5"/>
  <c r="DU19" i="5"/>
  <c r="CU21" i="5"/>
  <c r="DU20" i="5"/>
  <c r="CU22" i="5"/>
  <c r="DU21" i="5"/>
  <c r="CU23" i="5"/>
  <c r="DU22" i="5"/>
  <c r="CU24" i="5"/>
  <c r="DU23" i="5"/>
  <c r="CU25" i="5"/>
  <c r="DU24" i="5"/>
  <c r="CU26" i="5"/>
  <c r="DU25" i="5"/>
  <c r="CU27" i="5"/>
  <c r="DU26" i="5"/>
  <c r="CU28" i="5"/>
  <c r="DU27" i="5"/>
  <c r="CU29" i="5"/>
  <c r="DU28" i="5"/>
  <c r="CU30" i="5"/>
  <c r="DU29" i="5"/>
  <c r="CV17" i="5"/>
  <c r="DV16" i="5"/>
  <c r="CV18" i="5"/>
  <c r="DV17" i="5"/>
  <c r="CV19" i="5"/>
  <c r="DV18" i="5"/>
  <c r="CV20" i="5"/>
  <c r="DV19" i="5"/>
  <c r="CV21" i="5"/>
  <c r="DV20" i="5"/>
  <c r="CV22" i="5"/>
  <c r="DV21" i="5"/>
  <c r="CV23" i="5"/>
  <c r="DV22" i="5"/>
  <c r="CV24" i="5"/>
  <c r="DV23" i="5"/>
  <c r="CV25" i="5"/>
  <c r="DV24" i="5"/>
  <c r="CV26" i="5"/>
  <c r="DV25" i="5"/>
  <c r="CV27" i="5"/>
  <c r="DV26" i="5"/>
  <c r="CV28" i="5"/>
  <c r="DV27" i="5"/>
  <c r="CV29" i="5"/>
  <c r="DV28" i="5"/>
  <c r="CV30" i="5"/>
  <c r="DV29" i="5"/>
  <c r="CW16" i="5"/>
  <c r="DW15" i="5"/>
  <c r="CW17" i="5"/>
  <c r="DW16" i="5"/>
  <c r="CW18" i="5"/>
  <c r="DW17" i="5"/>
  <c r="CW19" i="5"/>
  <c r="DW18" i="5"/>
  <c r="CW20" i="5"/>
  <c r="DW19" i="5"/>
  <c r="CW21" i="5"/>
  <c r="DW20" i="5"/>
  <c r="CW22" i="5"/>
  <c r="DW21" i="5"/>
  <c r="CW23" i="5"/>
  <c r="DW22" i="5"/>
  <c r="CW24" i="5"/>
  <c r="DW23" i="5"/>
  <c r="CW25" i="5"/>
  <c r="DW24" i="5"/>
  <c r="CW26" i="5"/>
  <c r="DW25" i="5"/>
  <c r="CW27" i="5"/>
  <c r="DW26" i="5"/>
  <c r="CW28" i="5"/>
  <c r="DW27" i="5"/>
  <c r="CW29" i="5"/>
  <c r="DW28" i="5"/>
  <c r="CW30" i="5"/>
  <c r="DW29" i="5"/>
  <c r="CX23" i="5"/>
  <c r="DX22" i="5"/>
  <c r="CX24" i="5"/>
  <c r="DX23" i="5"/>
  <c r="CX25" i="5"/>
  <c r="DX24" i="5"/>
  <c r="CX26" i="5"/>
  <c r="DX25" i="5"/>
  <c r="CX27" i="5"/>
  <c r="DX26" i="5"/>
  <c r="CX28" i="5"/>
  <c r="DX27" i="5"/>
  <c r="CX29" i="5"/>
  <c r="DX28" i="5"/>
  <c r="CX30" i="5"/>
  <c r="DX29" i="5"/>
  <c r="CY25" i="5"/>
  <c r="DY24" i="5"/>
  <c r="CY26" i="5"/>
  <c r="DY25" i="5"/>
  <c r="CY27" i="5"/>
  <c r="DY26" i="5"/>
  <c r="CY28" i="5"/>
  <c r="DY27" i="5"/>
  <c r="CY29" i="5"/>
  <c r="DY28" i="5"/>
  <c r="CY30" i="5"/>
  <c r="DY29" i="5"/>
  <c r="CZ24" i="5"/>
  <c r="DZ23" i="5"/>
  <c r="CZ25" i="5"/>
  <c r="DZ24" i="5"/>
  <c r="CZ26" i="5"/>
  <c r="DZ25" i="5"/>
  <c r="CZ27" i="5"/>
  <c r="DZ26" i="5"/>
  <c r="CZ28" i="5"/>
  <c r="DZ27" i="5"/>
  <c r="CZ29" i="5"/>
  <c r="DZ28" i="5"/>
  <c r="CZ30" i="5"/>
  <c r="DZ29" i="5"/>
  <c r="DA25" i="5"/>
  <c r="EA24" i="5"/>
  <c r="DA26" i="5"/>
  <c r="EA25" i="5"/>
  <c r="DA27" i="5"/>
  <c r="EA26" i="5"/>
  <c r="DA28" i="5"/>
  <c r="EA27" i="5"/>
  <c r="DA29" i="5"/>
  <c r="EA28" i="5"/>
  <c r="DA30" i="5"/>
  <c r="EA29" i="5"/>
  <c r="DB21" i="5"/>
  <c r="EB20" i="5"/>
  <c r="DB22" i="5"/>
  <c r="EB21" i="5"/>
  <c r="DB23" i="5"/>
  <c r="EB22" i="5"/>
  <c r="DB24" i="5"/>
  <c r="EB23" i="5"/>
  <c r="DB25" i="5"/>
  <c r="EB24" i="5"/>
  <c r="DB26" i="5"/>
  <c r="EB25" i="5"/>
  <c r="DB27" i="5"/>
  <c r="EB26" i="5"/>
  <c r="DB28" i="5"/>
  <c r="EB27" i="5"/>
  <c r="DB29" i="5"/>
  <c r="EB28" i="5"/>
  <c r="DB30" i="5"/>
  <c r="EB29" i="5"/>
  <c r="DC25" i="5"/>
  <c r="EC24" i="5"/>
  <c r="DC26" i="5"/>
  <c r="EC25" i="5"/>
  <c r="DC27" i="5"/>
  <c r="EC26" i="5"/>
  <c r="DC28" i="5"/>
  <c r="EC27" i="5"/>
  <c r="DC29" i="5"/>
  <c r="EC28" i="5"/>
  <c r="DC30" i="5"/>
  <c r="EC29" i="5"/>
  <c r="DD25" i="5"/>
  <c r="ED24" i="5"/>
  <c r="DD26" i="5"/>
  <c r="ED25" i="5"/>
  <c r="DD27" i="5"/>
  <c r="ED26" i="5"/>
  <c r="DD28" i="5"/>
  <c r="ED27" i="5"/>
  <c r="DD29" i="5"/>
  <c r="ED28" i="5"/>
  <c r="DD30" i="5"/>
  <c r="ED29" i="5"/>
  <c r="DE25" i="5"/>
  <c r="EE24" i="5"/>
  <c r="DE26" i="5"/>
  <c r="EE25" i="5"/>
  <c r="DE27" i="5"/>
  <c r="EE26" i="5"/>
  <c r="DE28" i="5"/>
  <c r="EE27" i="5"/>
  <c r="DE29" i="5"/>
  <c r="EE28" i="5"/>
  <c r="DE30" i="5"/>
  <c r="EE29" i="5"/>
  <c r="DH27" i="5"/>
  <c r="EH26" i="5"/>
  <c r="DH28" i="5"/>
  <c r="EH27" i="5"/>
  <c r="DH29" i="5"/>
  <c r="EH28" i="5"/>
  <c r="DH30" i="5"/>
  <c r="EH29" i="5"/>
  <c r="DI28" i="5"/>
  <c r="EI27" i="5"/>
  <c r="DI29" i="5"/>
  <c r="EI28" i="5"/>
  <c r="DI30" i="5"/>
  <c r="EI29" i="5"/>
  <c r="DJ29" i="5"/>
  <c r="EJ28" i="5"/>
  <c r="DJ30" i="5"/>
  <c r="EJ29" i="5"/>
  <c r="DK30" i="5"/>
  <c r="EK29" i="5"/>
  <c r="FL29" i="5"/>
  <c r="FQ29" i="5"/>
  <c r="FQ28" i="5"/>
  <c r="FQ27" i="5"/>
  <c r="FQ26" i="5"/>
  <c r="FQ25" i="5"/>
  <c r="FQ24" i="5"/>
  <c r="FQ23" i="5"/>
  <c r="FQ22" i="5"/>
  <c r="FQ21" i="5"/>
  <c r="FQ20" i="5"/>
  <c r="FQ19" i="5"/>
  <c r="FQ18" i="5"/>
  <c r="FQ17" i="5"/>
  <c r="FQ16" i="5"/>
  <c r="FQ15" i="5"/>
  <c r="FQ14" i="5"/>
  <c r="FQ13" i="5"/>
  <c r="FQ12" i="5"/>
  <c r="FQ11" i="5"/>
  <c r="FQ10" i="5"/>
  <c r="FQ9" i="5"/>
  <c r="FQ8" i="5"/>
  <c r="FQ7" i="5"/>
  <c r="EO6" i="5"/>
  <c r="FQ6" i="5"/>
  <c r="FP31" i="5"/>
  <c r="FP30" i="5"/>
  <c r="FP29" i="5"/>
  <c r="FP28" i="5"/>
  <c r="FP27" i="5"/>
  <c r="FP26" i="5"/>
  <c r="FP25" i="5"/>
  <c r="FP24" i="5"/>
  <c r="FP23" i="5"/>
  <c r="FP22" i="5"/>
  <c r="FP21" i="5"/>
  <c r="FP20" i="5"/>
  <c r="FP19" i="5"/>
  <c r="FP18" i="5"/>
  <c r="FP17" i="5"/>
  <c r="FP16" i="5"/>
  <c r="FP15" i="5"/>
  <c r="FP14" i="5"/>
  <c r="FP13" i="5"/>
  <c r="FP12" i="5"/>
  <c r="FP11" i="5"/>
  <c r="FP10" i="5"/>
  <c r="FP9" i="5"/>
  <c r="FP8" i="5"/>
  <c r="FP7" i="5"/>
  <c r="FP6" i="5"/>
  <c r="CK31" i="5"/>
  <c r="CK30" i="5"/>
  <c r="K29" i="5"/>
  <c r="L29" i="5"/>
  <c r="M29" i="5"/>
  <c r="N29" i="5"/>
  <c r="O29" i="5"/>
  <c r="P29" i="5"/>
  <c r="Q29" i="5"/>
  <c r="R29" i="5"/>
  <c r="S29" i="5"/>
  <c r="T29" i="5"/>
  <c r="U29" i="5"/>
  <c r="V29" i="5"/>
  <c r="W29" i="5"/>
  <c r="X29" i="5"/>
  <c r="Y29" i="5"/>
  <c r="Z29" i="5"/>
  <c r="AC29" i="5"/>
  <c r="AD29" i="5"/>
  <c r="AE29" i="5"/>
  <c r="CG29" i="5"/>
  <c r="CK29" i="5"/>
  <c r="K28" i="5"/>
  <c r="L28" i="5"/>
  <c r="M28" i="5"/>
  <c r="N28" i="5"/>
  <c r="O28" i="5"/>
  <c r="P28" i="5"/>
  <c r="Q28" i="5"/>
  <c r="R28" i="5"/>
  <c r="S28" i="5"/>
  <c r="T28" i="5"/>
  <c r="U28" i="5"/>
  <c r="V28" i="5"/>
  <c r="W28" i="5"/>
  <c r="X28" i="5"/>
  <c r="Y28" i="5"/>
  <c r="Z28" i="5"/>
  <c r="AC28" i="5"/>
  <c r="AD28" i="5"/>
  <c r="CK28" i="5"/>
  <c r="K27" i="5"/>
  <c r="L27" i="5"/>
  <c r="M27" i="5"/>
  <c r="N27" i="5"/>
  <c r="O27" i="5"/>
  <c r="P27" i="5"/>
  <c r="Q27" i="5"/>
  <c r="R27" i="5"/>
  <c r="S27" i="5"/>
  <c r="T27" i="5"/>
  <c r="U27" i="5"/>
  <c r="V27" i="5"/>
  <c r="W27" i="5"/>
  <c r="X27" i="5"/>
  <c r="Y27" i="5"/>
  <c r="Z27" i="5"/>
  <c r="AC27" i="5"/>
  <c r="CK27" i="5"/>
  <c r="K26" i="5"/>
  <c r="L26" i="5"/>
  <c r="M26" i="5"/>
  <c r="N26" i="5"/>
  <c r="O26" i="5"/>
  <c r="P26" i="5"/>
  <c r="Q26" i="5"/>
  <c r="R26" i="5"/>
  <c r="S26" i="5"/>
  <c r="T26" i="5"/>
  <c r="U26" i="5"/>
  <c r="V26" i="5"/>
  <c r="W26" i="5"/>
  <c r="X26" i="5"/>
  <c r="Y26" i="5"/>
  <c r="Z26" i="5"/>
  <c r="CK26" i="5"/>
  <c r="L10" i="5"/>
  <c r="AL9" i="5"/>
  <c r="L11" i="5"/>
  <c r="AL10" i="5"/>
  <c r="L12" i="5"/>
  <c r="AL11" i="5"/>
  <c r="N12" i="5"/>
  <c r="AN11" i="5"/>
  <c r="N13" i="5"/>
  <c r="AN12" i="5"/>
  <c r="T22" i="5"/>
  <c r="AT21" i="5"/>
  <c r="K25" i="5"/>
  <c r="L25" i="5"/>
  <c r="M25" i="5"/>
  <c r="N25" i="5"/>
  <c r="O25" i="5"/>
  <c r="P25" i="5"/>
  <c r="Q25" i="5"/>
  <c r="R25" i="5"/>
  <c r="S25" i="5"/>
  <c r="T25" i="5"/>
  <c r="U25" i="5"/>
  <c r="V25" i="5"/>
  <c r="W25" i="5"/>
  <c r="X25" i="5"/>
  <c r="Y25" i="5"/>
  <c r="Z25" i="5"/>
  <c r="CK25" i="5"/>
  <c r="K24" i="5"/>
  <c r="L24" i="5"/>
  <c r="M24" i="5"/>
  <c r="N24" i="5"/>
  <c r="O24" i="5"/>
  <c r="P24" i="5"/>
  <c r="Q24" i="5"/>
  <c r="R24" i="5"/>
  <c r="S24" i="5"/>
  <c r="T24" i="5"/>
  <c r="U24" i="5"/>
  <c r="Y24" i="5"/>
  <c r="CK24" i="5"/>
  <c r="K23" i="5"/>
  <c r="L23" i="5"/>
  <c r="M23" i="5"/>
  <c r="N23" i="5"/>
  <c r="O23" i="5"/>
  <c r="P23" i="5"/>
  <c r="Q23" i="5"/>
  <c r="R23" i="5"/>
  <c r="S23" i="5"/>
  <c r="T23" i="5"/>
  <c r="Y23" i="5"/>
  <c r="CK23" i="5"/>
  <c r="K22" i="5"/>
  <c r="L22" i="5"/>
  <c r="M22" i="5"/>
  <c r="N22" i="5"/>
  <c r="O22" i="5"/>
  <c r="P22" i="5"/>
  <c r="Q22" i="5"/>
  <c r="R22" i="5"/>
  <c r="S22" i="5"/>
  <c r="CK22" i="5"/>
  <c r="K21" i="5"/>
  <c r="L21" i="5"/>
  <c r="M21" i="5"/>
  <c r="N21" i="5"/>
  <c r="O21" i="5"/>
  <c r="P21" i="5"/>
  <c r="Q21" i="5"/>
  <c r="R21" i="5"/>
  <c r="S21" i="5"/>
  <c r="CK21" i="5"/>
  <c r="K20" i="5"/>
  <c r="L20" i="5"/>
  <c r="M20" i="5"/>
  <c r="N20" i="5"/>
  <c r="O20" i="5"/>
  <c r="P20" i="5"/>
  <c r="Q20" i="5"/>
  <c r="R20" i="5"/>
  <c r="CK20" i="5"/>
  <c r="K19" i="5"/>
  <c r="L19" i="5"/>
  <c r="M19" i="5"/>
  <c r="N19" i="5"/>
  <c r="O19" i="5"/>
  <c r="P19" i="5"/>
  <c r="Q19" i="5"/>
  <c r="R19" i="5"/>
  <c r="CK19" i="5"/>
  <c r="K18" i="5"/>
  <c r="L18" i="5"/>
  <c r="M18" i="5"/>
  <c r="N18" i="5"/>
  <c r="O18" i="5"/>
  <c r="Q18" i="5"/>
  <c r="R18" i="5"/>
  <c r="CK18" i="5"/>
  <c r="K17" i="5"/>
  <c r="L17" i="5"/>
  <c r="M17" i="5"/>
  <c r="N17" i="5"/>
  <c r="O17" i="5"/>
  <c r="Q17" i="5"/>
  <c r="CK17" i="5"/>
  <c r="K16" i="5"/>
  <c r="L16" i="5"/>
  <c r="M16" i="5"/>
  <c r="N16" i="5"/>
  <c r="O16" i="5"/>
  <c r="CK16" i="5"/>
  <c r="K15" i="5"/>
  <c r="L15" i="5"/>
  <c r="M15" i="5"/>
  <c r="N15" i="5"/>
  <c r="O15" i="5"/>
  <c r="CK15" i="5"/>
  <c r="K14" i="5"/>
  <c r="L14" i="5"/>
  <c r="M14" i="5"/>
  <c r="N14" i="5"/>
  <c r="CK14" i="5"/>
  <c r="K13" i="5"/>
  <c r="L13" i="5"/>
  <c r="M13" i="5"/>
  <c r="CK13" i="5"/>
  <c r="K12" i="5"/>
  <c r="M12" i="5"/>
  <c r="CK12" i="5"/>
  <c r="K9" i="5"/>
  <c r="AK8" i="5"/>
  <c r="M11" i="5"/>
  <c r="AM10" i="5"/>
  <c r="AM11" i="5"/>
  <c r="K11" i="5"/>
  <c r="CK11" i="5"/>
  <c r="K10" i="5"/>
  <c r="CK10" i="5"/>
  <c r="CK9" i="5"/>
  <c r="CK8" i="5"/>
  <c r="CK7" i="5"/>
  <c r="CL31" i="5"/>
  <c r="CL30" i="5"/>
  <c r="AK9" i="5"/>
  <c r="AK10" i="5"/>
  <c r="AK11" i="5"/>
  <c r="AK12" i="5"/>
  <c r="AK13" i="5"/>
  <c r="AK14" i="5"/>
  <c r="AK15" i="5"/>
  <c r="AK16" i="5"/>
  <c r="AK17" i="5"/>
  <c r="AK18" i="5"/>
  <c r="AK19" i="5"/>
  <c r="AK20" i="5"/>
  <c r="AK21" i="5"/>
  <c r="AK22" i="5"/>
  <c r="AK23" i="5"/>
  <c r="AK24" i="5"/>
  <c r="AK25" i="5"/>
  <c r="AK26" i="5"/>
  <c r="AK27" i="5"/>
  <c r="AK28" i="5"/>
  <c r="K30" i="5"/>
  <c r="AK29" i="5"/>
  <c r="AL12" i="5"/>
  <c r="AL13" i="5"/>
  <c r="AL14" i="5"/>
  <c r="AL15" i="5"/>
  <c r="AL16" i="5"/>
  <c r="AL17" i="5"/>
  <c r="AL18" i="5"/>
  <c r="AL19" i="5"/>
  <c r="AL20" i="5"/>
  <c r="AL21" i="5"/>
  <c r="AL22" i="5"/>
  <c r="AL23" i="5"/>
  <c r="AL24" i="5"/>
  <c r="AL25" i="5"/>
  <c r="AL26" i="5"/>
  <c r="AL27" i="5"/>
  <c r="AL28" i="5"/>
  <c r="L30" i="5"/>
  <c r="AL29" i="5"/>
  <c r="AM12" i="5"/>
  <c r="AM13" i="5"/>
  <c r="AM14" i="5"/>
  <c r="AM15" i="5"/>
  <c r="AM16" i="5"/>
  <c r="AM17" i="5"/>
  <c r="AM18" i="5"/>
  <c r="AM19" i="5"/>
  <c r="AM20" i="5"/>
  <c r="AM21" i="5"/>
  <c r="AM22" i="5"/>
  <c r="AM23" i="5"/>
  <c r="AM24" i="5"/>
  <c r="AM25" i="5"/>
  <c r="AM26" i="5"/>
  <c r="AM27" i="5"/>
  <c r="AM28" i="5"/>
  <c r="M30" i="5"/>
  <c r="AM29" i="5"/>
  <c r="AN13" i="5"/>
  <c r="AN14" i="5"/>
  <c r="AN15" i="5"/>
  <c r="AN16" i="5"/>
  <c r="AN17" i="5"/>
  <c r="AN18" i="5"/>
  <c r="AN19" i="5"/>
  <c r="AN20" i="5"/>
  <c r="AN21" i="5"/>
  <c r="AN22" i="5"/>
  <c r="AN23" i="5"/>
  <c r="AN24" i="5"/>
  <c r="AN25" i="5"/>
  <c r="AN26" i="5"/>
  <c r="AN27" i="5"/>
  <c r="AN28" i="5"/>
  <c r="N30" i="5"/>
  <c r="AN29" i="5"/>
  <c r="AO14" i="5"/>
  <c r="AO15" i="5"/>
  <c r="AO16" i="5"/>
  <c r="AO17" i="5"/>
  <c r="AO18" i="5"/>
  <c r="AO19" i="5"/>
  <c r="AO20" i="5"/>
  <c r="AO21" i="5"/>
  <c r="AO22" i="5"/>
  <c r="AO23" i="5"/>
  <c r="AO24" i="5"/>
  <c r="AO25" i="5"/>
  <c r="AO26" i="5"/>
  <c r="AO27" i="5"/>
  <c r="AO28" i="5"/>
  <c r="O30" i="5"/>
  <c r="AO29" i="5"/>
  <c r="AP18" i="5"/>
  <c r="AP19" i="5"/>
  <c r="AP20" i="5"/>
  <c r="AP21" i="5"/>
  <c r="AP22" i="5"/>
  <c r="AP23" i="5"/>
  <c r="AP24" i="5"/>
  <c r="AP25" i="5"/>
  <c r="AP26" i="5"/>
  <c r="AP27" i="5"/>
  <c r="AP28" i="5"/>
  <c r="P30" i="5"/>
  <c r="AP29" i="5"/>
  <c r="AQ16" i="5"/>
  <c r="AQ17" i="5"/>
  <c r="AQ18" i="5"/>
  <c r="AQ19" i="5"/>
  <c r="AQ20" i="5"/>
  <c r="AQ21" i="5"/>
  <c r="AQ22" i="5"/>
  <c r="AQ23" i="5"/>
  <c r="AQ24" i="5"/>
  <c r="AQ25" i="5"/>
  <c r="AQ26" i="5"/>
  <c r="AQ27" i="5"/>
  <c r="AQ28" i="5"/>
  <c r="Q30" i="5"/>
  <c r="AQ29" i="5"/>
  <c r="AR17" i="5"/>
  <c r="AR18" i="5"/>
  <c r="AR19" i="5"/>
  <c r="AR20" i="5"/>
  <c r="AR21" i="5"/>
  <c r="AR22" i="5"/>
  <c r="AR23" i="5"/>
  <c r="AR24" i="5"/>
  <c r="AR25" i="5"/>
  <c r="AR26" i="5"/>
  <c r="AR27" i="5"/>
  <c r="AR28" i="5"/>
  <c r="R30" i="5"/>
  <c r="AR29" i="5"/>
  <c r="AS20" i="5"/>
  <c r="AS21" i="5"/>
  <c r="AS22" i="5"/>
  <c r="AS23" i="5"/>
  <c r="AS24" i="5"/>
  <c r="AS25" i="5"/>
  <c r="AS26" i="5"/>
  <c r="AS27" i="5"/>
  <c r="AS28" i="5"/>
  <c r="S30" i="5"/>
  <c r="AS29" i="5"/>
  <c r="AT22" i="5"/>
  <c r="AT23" i="5"/>
  <c r="AT24" i="5"/>
  <c r="AT25" i="5"/>
  <c r="AT26" i="5"/>
  <c r="AT27" i="5"/>
  <c r="AT28" i="5"/>
  <c r="T30" i="5"/>
  <c r="AT29" i="5"/>
  <c r="AU23" i="5"/>
  <c r="AU24" i="5"/>
  <c r="AU25" i="5"/>
  <c r="AU26" i="5"/>
  <c r="AU27" i="5"/>
  <c r="AU28" i="5"/>
  <c r="U30" i="5"/>
  <c r="AU29" i="5"/>
  <c r="AV24" i="5"/>
  <c r="AV25" i="5"/>
  <c r="AV26" i="5"/>
  <c r="AV27" i="5"/>
  <c r="AV28" i="5"/>
  <c r="V30" i="5"/>
  <c r="AV29" i="5"/>
  <c r="AW24" i="5"/>
  <c r="AW25" i="5"/>
  <c r="AW26" i="5"/>
  <c r="AW27" i="5"/>
  <c r="AW28" i="5"/>
  <c r="W30" i="5"/>
  <c r="AW29" i="5"/>
  <c r="AX24" i="5"/>
  <c r="AX25" i="5"/>
  <c r="AX26" i="5"/>
  <c r="AX27" i="5"/>
  <c r="AX28" i="5"/>
  <c r="X30" i="5"/>
  <c r="AX29" i="5"/>
  <c r="AY22" i="5"/>
  <c r="AY23" i="5"/>
  <c r="AY24" i="5"/>
  <c r="AY25" i="5"/>
  <c r="AY26" i="5"/>
  <c r="AY27" i="5"/>
  <c r="AY28" i="5"/>
  <c r="Y30" i="5"/>
  <c r="AY29" i="5"/>
  <c r="AZ24" i="5"/>
  <c r="AZ25" i="5"/>
  <c r="AZ26" i="5"/>
  <c r="AZ27" i="5"/>
  <c r="AZ28" i="5"/>
  <c r="Z30" i="5"/>
  <c r="AZ29" i="5"/>
  <c r="BC26" i="5"/>
  <c r="BC27" i="5"/>
  <c r="BC28" i="5"/>
  <c r="AC30" i="5"/>
  <c r="BC29" i="5"/>
  <c r="BD27" i="5"/>
  <c r="BD28" i="5"/>
  <c r="AD30" i="5"/>
  <c r="BD29" i="5"/>
  <c r="BE28" i="5"/>
  <c r="AE30" i="5"/>
  <c r="BE29" i="5"/>
  <c r="AF30" i="5"/>
  <c r="BF29" i="5"/>
  <c r="CL29" i="5"/>
  <c r="CL28" i="5"/>
  <c r="CL27" i="5"/>
  <c r="CL26" i="5"/>
  <c r="CL25" i="5"/>
  <c r="CL24" i="5"/>
  <c r="CL23" i="5"/>
  <c r="CL22" i="5"/>
  <c r="CL21" i="5"/>
  <c r="CL20" i="5"/>
  <c r="CL19" i="5"/>
  <c r="CL18" i="5"/>
  <c r="CL17" i="5"/>
  <c r="CL16" i="5"/>
  <c r="CL15" i="5"/>
  <c r="CL14" i="5"/>
  <c r="CL13" i="5"/>
  <c r="CL12" i="5"/>
  <c r="CL11" i="5"/>
  <c r="CL10" i="5"/>
  <c r="CL9" i="5"/>
  <c r="CL8" i="5"/>
  <c r="CL7" i="5"/>
  <c r="B17" i="7"/>
  <c r="H18" i="7"/>
  <c r="H17" i="7"/>
  <c r="B18" i="7"/>
  <c r="G18" i="7"/>
  <c r="G17" i="7"/>
  <c r="S28" i="2"/>
  <c r="S29" i="2"/>
  <c r="R29" i="2"/>
  <c r="C34" i="1"/>
  <c r="J31" i="5"/>
  <c r="BJ31" i="5"/>
  <c r="BJ30" i="5"/>
  <c r="BK30" i="5"/>
  <c r="BK31" i="5"/>
  <c r="CO31" i="5"/>
  <c r="EO31" i="5"/>
  <c r="EO30" i="5"/>
  <c r="EP30" i="5"/>
  <c r="EP31" i="5"/>
  <c r="EQ30" i="5"/>
  <c r="EQ31" i="5"/>
  <c r="ER30" i="5"/>
  <c r="ER31" i="5"/>
  <c r="ES30" i="5"/>
  <c r="ES31" i="5"/>
  <c r="ET30" i="5"/>
  <c r="ET31" i="5"/>
  <c r="EU30" i="5"/>
  <c r="EU31" i="5"/>
  <c r="EV30" i="5"/>
  <c r="EV31" i="5"/>
  <c r="EW30" i="5"/>
  <c r="EW31" i="5"/>
  <c r="EX30" i="5"/>
  <c r="EX31" i="5"/>
  <c r="EY30" i="5"/>
  <c r="EY31" i="5"/>
  <c r="EZ30" i="5"/>
  <c r="EZ31" i="5"/>
  <c r="FA30" i="5"/>
  <c r="FA31" i="5"/>
  <c r="FB30" i="5"/>
  <c r="FB31" i="5"/>
  <c r="FC30" i="5"/>
  <c r="FC31" i="5"/>
  <c r="FD30" i="5"/>
  <c r="FD31" i="5"/>
  <c r="FE30" i="5"/>
  <c r="FE31" i="5"/>
  <c r="FF30" i="5"/>
  <c r="FF31" i="5"/>
  <c r="FG30" i="5"/>
  <c r="FG31" i="5"/>
  <c r="FH30" i="5"/>
  <c r="FH31" i="5"/>
  <c r="FI30" i="5"/>
  <c r="FI31" i="5"/>
  <c r="FJ30" i="5"/>
  <c r="FJ31" i="5"/>
  <c r="FK30" i="5"/>
  <c r="FK31" i="5"/>
  <c r="FL30" i="5"/>
  <c r="FL31" i="5"/>
  <c r="DM30" i="5"/>
  <c r="FM30" i="5"/>
  <c r="FM31" i="5"/>
  <c r="DN31" i="5"/>
  <c r="FN31" i="5"/>
  <c r="AH31" i="5"/>
  <c r="AG31" i="5"/>
  <c r="AF31" i="5"/>
  <c r="AE31" i="5"/>
  <c r="AD31" i="5"/>
  <c r="AC31" i="5"/>
  <c r="AB31" i="5"/>
  <c r="AA31" i="5"/>
  <c r="Z31" i="5"/>
  <c r="Y31" i="5"/>
  <c r="X31" i="5"/>
  <c r="W31" i="5"/>
  <c r="BL30" i="5"/>
  <c r="BL31" i="5"/>
  <c r="BM30" i="5"/>
  <c r="BM31" i="5"/>
  <c r="BN30" i="5"/>
  <c r="BN31" i="5"/>
  <c r="BO30" i="5"/>
  <c r="BO31" i="5"/>
  <c r="BP30" i="5"/>
  <c r="BP31" i="5"/>
  <c r="BQ30" i="5"/>
  <c r="BQ31" i="5"/>
  <c r="BR30" i="5"/>
  <c r="BR31" i="5"/>
  <c r="BS30" i="5"/>
  <c r="BS31" i="5"/>
  <c r="BT30" i="5"/>
  <c r="BT31" i="5"/>
  <c r="BU30" i="5"/>
  <c r="BU31" i="5"/>
  <c r="BV30" i="5"/>
  <c r="BV31" i="5"/>
  <c r="BW30" i="5"/>
  <c r="BW31" i="5"/>
  <c r="BX30" i="5"/>
  <c r="BX31" i="5"/>
  <c r="BY30" i="5"/>
  <c r="BY31" i="5"/>
  <c r="BZ30" i="5"/>
  <c r="BZ31" i="5"/>
  <c r="CA30" i="5"/>
  <c r="CA31" i="5"/>
  <c r="CB30" i="5"/>
  <c r="CB31" i="5"/>
  <c r="CC30" i="5"/>
  <c r="CC31" i="5"/>
  <c r="CD30" i="5"/>
  <c r="CD31" i="5"/>
  <c r="CE30" i="5"/>
  <c r="CE31" i="5"/>
  <c r="CF30" i="5"/>
  <c r="CF31" i="5"/>
  <c r="CG30" i="5"/>
  <c r="CG31" i="5"/>
  <c r="AH30" i="5"/>
  <c r="CH30" i="5"/>
  <c r="CH31" i="5"/>
  <c r="AI31" i="5"/>
  <c r="CI31" i="5"/>
  <c r="V31" i="5"/>
  <c r="U31" i="5"/>
  <c r="T31" i="5"/>
  <c r="S31" i="5"/>
  <c r="R31" i="5"/>
  <c r="P31" i="5"/>
  <c r="O31" i="5"/>
  <c r="M31" i="5"/>
  <c r="L31" i="5"/>
  <c r="K31" i="5"/>
  <c r="CU31" i="5"/>
  <c r="CT31" i="5"/>
  <c r="CS31" i="5"/>
  <c r="CR31" i="5"/>
  <c r="CQ31" i="5"/>
  <c r="CP31" i="5"/>
  <c r="DL31" i="5"/>
  <c r="DK31" i="5"/>
  <c r="DJ31" i="5"/>
  <c r="DI31" i="5"/>
  <c r="DH31" i="5"/>
  <c r="DG31" i="5"/>
  <c r="DF31" i="5"/>
  <c r="DE31" i="5"/>
  <c r="DD31" i="5"/>
  <c r="DC31" i="5"/>
  <c r="DB31" i="5"/>
  <c r="DA31" i="5"/>
  <c r="CZ31" i="5"/>
  <c r="CY31" i="5"/>
  <c r="CX31" i="5"/>
  <c r="CW31" i="5"/>
  <c r="CV31" i="5"/>
  <c r="DM31" i="5"/>
  <c r="S5" i="6"/>
  <c r="AY8" i="11"/>
  <c r="V6" i="11"/>
  <c r="J8" i="11"/>
  <c r="J9" i="11"/>
  <c r="J10" i="11"/>
  <c r="J11" i="11"/>
  <c r="V8" i="11"/>
  <c r="V9" i="11"/>
  <c r="V10" i="11"/>
  <c r="V11" i="11"/>
  <c r="J12" i="11"/>
  <c r="J13" i="11"/>
  <c r="J14" i="11"/>
  <c r="J15" i="11"/>
  <c r="J16" i="11"/>
  <c r="J17" i="11"/>
  <c r="J18" i="11"/>
  <c r="J19" i="11"/>
  <c r="J20" i="11"/>
  <c r="J21" i="11"/>
  <c r="J22" i="11"/>
  <c r="J23" i="11"/>
  <c r="J24" i="11"/>
  <c r="J25" i="11"/>
  <c r="J26" i="11"/>
  <c r="J27" i="11"/>
  <c r="J28" i="11"/>
  <c r="J29" i="11"/>
  <c r="J30" i="11"/>
  <c r="J31" i="11"/>
  <c r="V12" i="11"/>
  <c r="V13" i="11"/>
  <c r="V14" i="11"/>
  <c r="V15" i="11"/>
  <c r="V16" i="11"/>
  <c r="V17" i="11"/>
  <c r="V18" i="11"/>
  <c r="V19" i="11"/>
  <c r="V20" i="11"/>
  <c r="V21" i="11"/>
  <c r="V22" i="11"/>
  <c r="V23" i="11"/>
  <c r="V24" i="11"/>
  <c r="V25" i="11"/>
  <c r="V26" i="11"/>
  <c r="V27" i="11"/>
  <c r="V28" i="11"/>
  <c r="V29" i="11"/>
  <c r="V30" i="11"/>
  <c r="AY9" i="11"/>
  <c r="AY10" i="11"/>
  <c r="AY11" i="11"/>
  <c r="AY12" i="11"/>
  <c r="AY13" i="11"/>
  <c r="AY14" i="11"/>
  <c r="AY15" i="11"/>
  <c r="AY16" i="11"/>
  <c r="AY17" i="11"/>
  <c r="AY18" i="11"/>
  <c r="AY19" i="11"/>
  <c r="I6" i="1"/>
  <c r="Q31" i="5"/>
  <c r="N31" i="5"/>
  <c r="E42" i="1"/>
  <c r="E41" i="1"/>
  <c r="F7" i="1"/>
  <c r="K18" i="2"/>
  <c r="K17" i="2"/>
  <c r="K16" i="2"/>
  <c r="K15" i="2"/>
  <c r="K14" i="2"/>
  <c r="K13" i="2"/>
  <c r="K12" i="2"/>
  <c r="K11" i="2"/>
  <c r="K10" i="2"/>
  <c r="K9" i="2"/>
  <c r="K8" i="2"/>
  <c r="K7" i="2"/>
  <c r="K6" i="2"/>
  <c r="K5" i="2"/>
  <c r="K4" i="2"/>
  <c r="K3" i="2"/>
  <c r="I18" i="2"/>
  <c r="I17" i="2"/>
  <c r="I16" i="2"/>
  <c r="I15" i="2"/>
  <c r="I14" i="2"/>
  <c r="I13" i="2"/>
  <c r="I12" i="2"/>
  <c r="I11" i="2"/>
  <c r="I10" i="2"/>
  <c r="I9" i="2"/>
  <c r="I8" i="2"/>
  <c r="I7" i="2"/>
  <c r="I6" i="2"/>
  <c r="I5" i="2"/>
  <c r="I4" i="2"/>
  <c r="I3" i="2"/>
  <c r="H18" i="2"/>
  <c r="H17" i="2"/>
  <c r="H16" i="2"/>
  <c r="H15" i="2"/>
  <c r="H14" i="2"/>
  <c r="H13" i="2"/>
  <c r="H12" i="2"/>
  <c r="H11" i="2"/>
  <c r="H10" i="2"/>
  <c r="H9" i="2"/>
  <c r="H8" i="2"/>
  <c r="H7" i="2"/>
  <c r="H6" i="2"/>
  <c r="H5" i="2"/>
  <c r="H4" i="2"/>
  <c r="H3" i="2"/>
  <c r="F18" i="2"/>
  <c r="F17" i="2"/>
  <c r="F16" i="2"/>
  <c r="F15" i="2"/>
  <c r="F14" i="2"/>
  <c r="F13" i="2"/>
  <c r="F12" i="2"/>
  <c r="F11" i="2"/>
  <c r="F10" i="2"/>
  <c r="F9" i="2"/>
  <c r="F8" i="2"/>
  <c r="F7" i="2"/>
  <c r="F6" i="2"/>
  <c r="F5" i="2"/>
  <c r="F4" i="2"/>
  <c r="F3" i="2"/>
  <c r="B18" i="2"/>
  <c r="B17" i="2"/>
  <c r="B16" i="2"/>
  <c r="B15" i="2"/>
  <c r="B14" i="2"/>
  <c r="B13" i="2"/>
  <c r="B12" i="2"/>
  <c r="B11" i="2"/>
  <c r="B10" i="2"/>
  <c r="B9" i="2"/>
  <c r="B8" i="2"/>
  <c r="B7" i="2"/>
  <c r="B6" i="2"/>
  <c r="B5" i="2"/>
  <c r="B4" i="2"/>
  <c r="B3" i="2"/>
  <c r="E17" i="2"/>
  <c r="E16" i="2"/>
  <c r="E15" i="2"/>
  <c r="E14" i="2"/>
  <c r="E13" i="2"/>
  <c r="E12" i="2"/>
  <c r="E11" i="2"/>
  <c r="E10" i="2"/>
  <c r="E9" i="2"/>
  <c r="E8" i="2"/>
  <c r="E7" i="2"/>
  <c r="E6" i="2"/>
  <c r="E5" i="2"/>
  <c r="E4" i="2"/>
  <c r="E3" i="2"/>
  <c r="D18" i="2"/>
  <c r="D17" i="2"/>
  <c r="D16" i="2"/>
  <c r="D15" i="2"/>
  <c r="D14" i="2"/>
  <c r="D13" i="2"/>
  <c r="D12" i="2"/>
  <c r="D11" i="2"/>
  <c r="D10" i="2"/>
  <c r="D9" i="2"/>
  <c r="D8" i="2"/>
  <c r="D7" i="2"/>
  <c r="D6" i="2"/>
  <c r="D5" i="2"/>
  <c r="D4" i="2"/>
  <c r="D3" i="2"/>
  <c r="C18" i="2"/>
  <c r="C17" i="2"/>
  <c r="C16" i="2"/>
  <c r="C15" i="2"/>
  <c r="C14" i="2"/>
  <c r="C13" i="2"/>
  <c r="C12" i="2"/>
  <c r="C11" i="2"/>
  <c r="C10" i="2"/>
  <c r="C9" i="2"/>
  <c r="C8" i="2"/>
  <c r="C7" i="2"/>
  <c r="C6" i="2"/>
  <c r="C5" i="2"/>
  <c r="C4" i="2"/>
  <c r="C3" i="2"/>
  <c r="I6" i="6"/>
  <c r="F6" i="6"/>
  <c r="H30" i="5"/>
  <c r="AJ30" i="5"/>
  <c r="F31" i="5"/>
  <c r="H31" i="5"/>
  <c r="AJ31" i="5"/>
  <c r="AX30" i="5"/>
  <c r="AX31" i="5"/>
  <c r="BA30" i="5"/>
  <c r="BA31" i="5"/>
  <c r="BB30" i="5"/>
  <c r="BB31" i="5"/>
  <c r="G30" i="5"/>
  <c r="BC30" i="5"/>
  <c r="BC31" i="5"/>
  <c r="BD30" i="5"/>
  <c r="G31" i="5"/>
  <c r="BD31" i="5"/>
  <c r="BE30" i="5"/>
  <c r="BE31" i="5"/>
  <c r="BF30" i="5"/>
  <c r="BF31" i="5"/>
  <c r="BG30" i="5"/>
  <c r="BG31" i="5"/>
  <c r="E30" i="5"/>
  <c r="BH31" i="5"/>
  <c r="E31" i="5"/>
  <c r="AY30" i="5"/>
  <c r="BJ6" i="5"/>
  <c r="CL6" i="5"/>
  <c r="CJ6" i="5"/>
  <c r="CJ7" i="5"/>
  <c r="CJ8" i="5"/>
  <c r="CJ9" i="5"/>
  <c r="CJ10" i="5"/>
  <c r="CJ11" i="5"/>
  <c r="CJ12" i="5"/>
  <c r="CJ13" i="5"/>
  <c r="DO30" i="5"/>
  <c r="DX30" i="5"/>
  <c r="EB30" i="5"/>
  <c r="EC30" i="5"/>
  <c r="EE30" i="5"/>
  <c r="EG30" i="5"/>
  <c r="EH30" i="5"/>
  <c r="EJ30" i="5"/>
  <c r="EK30" i="5"/>
  <c r="EL30" i="5"/>
  <c r="DO31" i="5"/>
  <c r="DX31" i="5"/>
  <c r="EB31" i="5"/>
  <c r="EC31" i="5"/>
  <c r="EE31" i="5"/>
  <c r="EG31" i="5"/>
  <c r="EH31" i="5"/>
  <c r="EJ31" i="5"/>
  <c r="EK31" i="5"/>
  <c r="EL31" i="5"/>
  <c r="EM31" i="5"/>
  <c r="CJ14" i="5"/>
  <c r="CJ15" i="5"/>
  <c r="CJ16" i="5"/>
  <c r="CJ17" i="5"/>
  <c r="CJ18" i="5"/>
  <c r="CJ19" i="5"/>
  <c r="CJ20" i="5"/>
  <c r="CJ21" i="5"/>
  <c r="CJ22" i="5"/>
  <c r="CJ23" i="5"/>
  <c r="CJ24" i="5"/>
  <c r="CJ25" i="5"/>
  <c r="CJ26" i="5"/>
  <c r="CJ27" i="5"/>
  <c r="CJ28" i="5"/>
  <c r="CJ29" i="5"/>
  <c r="CJ30" i="5"/>
  <c r="CJ31" i="5"/>
  <c r="FO6" i="5"/>
  <c r="FO7" i="5"/>
  <c r="FO8" i="5"/>
  <c r="FO9" i="5"/>
  <c r="FO10" i="5"/>
  <c r="ED30" i="5"/>
  <c r="FO11" i="5"/>
  <c r="FO12" i="5"/>
  <c r="FO13" i="5"/>
  <c r="FO14" i="5"/>
  <c r="FO15" i="5"/>
  <c r="FO16" i="5"/>
  <c r="FO17" i="5"/>
  <c r="FO18" i="5"/>
  <c r="FO19" i="5"/>
  <c r="FO20" i="5"/>
  <c r="FO21" i="5"/>
  <c r="FO22" i="5"/>
  <c r="FO23" i="5"/>
  <c r="FO24" i="5"/>
  <c r="FO25" i="5"/>
  <c r="FO26" i="5"/>
  <c r="FO27" i="5"/>
  <c r="FO28" i="5"/>
  <c r="FO29" i="5"/>
  <c r="FO30" i="5"/>
  <c r="FO31" i="5"/>
  <c r="AL6" i="11"/>
  <c r="AL7" i="11"/>
  <c r="AL8" i="11"/>
  <c r="AL9" i="11"/>
  <c r="C6" i="11"/>
  <c r="G6" i="11"/>
  <c r="AB6" i="11"/>
  <c r="C7" i="11"/>
  <c r="AH7" i="11"/>
  <c r="K7" i="11"/>
  <c r="AI7" i="11"/>
  <c r="AJ7" i="11"/>
  <c r="L7" i="11"/>
  <c r="AK7" i="11"/>
  <c r="E7" i="11"/>
  <c r="E6" i="11"/>
  <c r="N6" i="11"/>
  <c r="N7" i="11"/>
  <c r="M6" i="11"/>
  <c r="M7" i="11"/>
  <c r="F7" i="11"/>
  <c r="O7" i="11"/>
  <c r="G7" i="11"/>
  <c r="H7" i="11"/>
  <c r="Q7" i="11"/>
  <c r="S7" i="11"/>
  <c r="AN7" i="11"/>
  <c r="T7" i="11"/>
  <c r="AO7" i="11"/>
  <c r="X7" i="11"/>
  <c r="Z6" i="11"/>
  <c r="Z7" i="11"/>
  <c r="Y6" i="11"/>
  <c r="Y7" i="11"/>
  <c r="AA7" i="11"/>
  <c r="AB7" i="11"/>
  <c r="AC7" i="11"/>
  <c r="AD7" i="11"/>
  <c r="AU7" i="11"/>
  <c r="AE7" i="11"/>
  <c r="AV7" i="11"/>
  <c r="AF7" i="11"/>
  <c r="AW7" i="11"/>
  <c r="C8" i="11"/>
  <c r="AH8" i="11"/>
  <c r="K8" i="11"/>
  <c r="AI8" i="11"/>
  <c r="AJ8" i="11"/>
  <c r="L8" i="11"/>
  <c r="AK8" i="11"/>
  <c r="E8" i="11"/>
  <c r="N8" i="11"/>
  <c r="M8" i="11"/>
  <c r="F8" i="11"/>
  <c r="O8" i="11"/>
  <c r="G8" i="11"/>
  <c r="P6" i="11"/>
  <c r="P7" i="11"/>
  <c r="P8" i="11"/>
  <c r="H8" i="11"/>
  <c r="Q8" i="11"/>
  <c r="R8" i="11"/>
  <c r="AM8" i="11"/>
  <c r="S8" i="11"/>
  <c r="AN8" i="11"/>
  <c r="T8" i="11"/>
  <c r="AO8" i="11"/>
  <c r="X8" i="11"/>
  <c r="Z8" i="11"/>
  <c r="Y8" i="11"/>
  <c r="AA8" i="11"/>
  <c r="AB8" i="11"/>
  <c r="AC8" i="11"/>
  <c r="AD8" i="11"/>
  <c r="AU8" i="11"/>
  <c r="AE8" i="11"/>
  <c r="AV8" i="11"/>
  <c r="AF8" i="11"/>
  <c r="AW8" i="11"/>
  <c r="C9" i="11"/>
  <c r="AH9" i="11"/>
  <c r="K9" i="11"/>
  <c r="AI9" i="11"/>
  <c r="AJ9" i="11"/>
  <c r="L9" i="11"/>
  <c r="AK9" i="11"/>
  <c r="E9" i="11"/>
  <c r="N9" i="11"/>
  <c r="M9" i="11"/>
  <c r="F9" i="11"/>
  <c r="O9" i="11"/>
  <c r="G9" i="11"/>
  <c r="P9" i="11"/>
  <c r="H9" i="11"/>
  <c r="Q9" i="11"/>
  <c r="R9" i="11"/>
  <c r="AM9" i="11"/>
  <c r="S9" i="11"/>
  <c r="AN9" i="11"/>
  <c r="T9" i="11"/>
  <c r="AO9" i="11"/>
  <c r="X9" i="11"/>
  <c r="Z9" i="11"/>
  <c r="Y9" i="11"/>
  <c r="AA9" i="11"/>
  <c r="AB9" i="11"/>
  <c r="AC9" i="11"/>
  <c r="AD9" i="11"/>
  <c r="AU9" i="11"/>
  <c r="AE9" i="11"/>
  <c r="AV9" i="11"/>
  <c r="AF9" i="11"/>
  <c r="AW9" i="11"/>
  <c r="C10" i="11"/>
  <c r="AH10" i="11"/>
  <c r="K10" i="11"/>
  <c r="AI10" i="11"/>
  <c r="AJ10" i="11"/>
  <c r="L10" i="11"/>
  <c r="AK10" i="11"/>
  <c r="AL10" i="11"/>
  <c r="E10" i="11"/>
  <c r="N10" i="11"/>
  <c r="M10" i="11"/>
  <c r="F10" i="11"/>
  <c r="O10" i="11"/>
  <c r="G10" i="11"/>
  <c r="P10" i="11"/>
  <c r="H10" i="11"/>
  <c r="Q10" i="11"/>
  <c r="R10" i="11"/>
  <c r="AM10" i="11"/>
  <c r="S10" i="11"/>
  <c r="AN10" i="11"/>
  <c r="T10" i="11"/>
  <c r="AO10" i="11"/>
  <c r="Y10" i="11"/>
  <c r="AA10" i="11"/>
  <c r="X10" i="11"/>
  <c r="Z10" i="11"/>
  <c r="AB10" i="11"/>
  <c r="AC10" i="11"/>
  <c r="AD10" i="11"/>
  <c r="AU10" i="11"/>
  <c r="AE10" i="11"/>
  <c r="AV10" i="11"/>
  <c r="AF10" i="11"/>
  <c r="AW10" i="11"/>
  <c r="C11" i="11"/>
  <c r="AH11" i="11"/>
  <c r="K11" i="11"/>
  <c r="AI11" i="11"/>
  <c r="AJ11" i="11"/>
  <c r="L11" i="11"/>
  <c r="AK11" i="11"/>
  <c r="AL11" i="11"/>
  <c r="E11" i="11"/>
  <c r="N11" i="11"/>
  <c r="M11" i="11"/>
  <c r="F11" i="11"/>
  <c r="O11" i="11"/>
  <c r="G11" i="11"/>
  <c r="P11" i="11"/>
  <c r="H11" i="11"/>
  <c r="Q11" i="11"/>
  <c r="R11" i="11"/>
  <c r="AM11" i="11"/>
  <c r="S11" i="11"/>
  <c r="AN11" i="11"/>
  <c r="T11" i="11"/>
  <c r="AO11" i="11"/>
  <c r="X11" i="11"/>
  <c r="Z11" i="11"/>
  <c r="Y11" i="11"/>
  <c r="AA11" i="11"/>
  <c r="AB11" i="11"/>
  <c r="AC11" i="11"/>
  <c r="AD11" i="11"/>
  <c r="AU11" i="11"/>
  <c r="AE11" i="11"/>
  <c r="AV11" i="11"/>
  <c r="AF11" i="11"/>
  <c r="AW11" i="11"/>
  <c r="C12" i="11"/>
  <c r="AH12" i="11"/>
  <c r="K12" i="11"/>
  <c r="AI12" i="11"/>
  <c r="AJ12" i="11"/>
  <c r="L12" i="11"/>
  <c r="AK12" i="11"/>
  <c r="AL12" i="11"/>
  <c r="E12" i="11"/>
  <c r="N12" i="11"/>
  <c r="M12" i="11"/>
  <c r="F12" i="11"/>
  <c r="O12" i="11"/>
  <c r="G12" i="11"/>
  <c r="P12" i="11"/>
  <c r="H12" i="11"/>
  <c r="Q12" i="11"/>
  <c r="R12" i="11"/>
  <c r="AM12" i="11"/>
  <c r="S12" i="11"/>
  <c r="AN12" i="11"/>
  <c r="T12" i="11"/>
  <c r="AO12" i="11"/>
  <c r="Y12" i="11"/>
  <c r="AA12" i="11"/>
  <c r="X12" i="11"/>
  <c r="Z12" i="11"/>
  <c r="AB12" i="11"/>
  <c r="AC12" i="11"/>
  <c r="AD12" i="11"/>
  <c r="AU12" i="11"/>
  <c r="AE12" i="11"/>
  <c r="AV12" i="11"/>
  <c r="AF12" i="11"/>
  <c r="AW12" i="11"/>
  <c r="C13" i="11"/>
  <c r="AH13" i="11"/>
  <c r="K13" i="11"/>
  <c r="AI13" i="11"/>
  <c r="AJ13" i="11"/>
  <c r="L13" i="11"/>
  <c r="AK13" i="11"/>
  <c r="AL13" i="11"/>
  <c r="E13" i="11"/>
  <c r="N13" i="11"/>
  <c r="M13" i="11"/>
  <c r="F13" i="11"/>
  <c r="O13" i="11"/>
  <c r="G13" i="11"/>
  <c r="P13" i="11"/>
  <c r="H13" i="11"/>
  <c r="Q13" i="11"/>
  <c r="R13" i="11"/>
  <c r="AM13" i="11"/>
  <c r="S13" i="11"/>
  <c r="AN13" i="11"/>
  <c r="T13" i="11"/>
  <c r="AO13" i="11"/>
  <c r="Y13" i="11"/>
  <c r="AA13" i="11"/>
  <c r="X13" i="11"/>
  <c r="Z13" i="11"/>
  <c r="AB13" i="11"/>
  <c r="AC13" i="11"/>
  <c r="AD13" i="11"/>
  <c r="AU13" i="11"/>
  <c r="AE13" i="11"/>
  <c r="AV13" i="11"/>
  <c r="AF13" i="11"/>
  <c r="AW13" i="11"/>
  <c r="C14" i="11"/>
  <c r="AH14" i="11"/>
  <c r="K14" i="11"/>
  <c r="AI14" i="11"/>
  <c r="AJ14" i="11"/>
  <c r="L14" i="11"/>
  <c r="AK14" i="11"/>
  <c r="AL14" i="11"/>
  <c r="E14" i="11"/>
  <c r="N14" i="11"/>
  <c r="M14" i="11"/>
  <c r="F14" i="11"/>
  <c r="O14" i="11"/>
  <c r="G14" i="11"/>
  <c r="P14" i="11"/>
  <c r="H14" i="11"/>
  <c r="Q14" i="11"/>
  <c r="R14" i="11"/>
  <c r="AM14" i="11"/>
  <c r="S14" i="11"/>
  <c r="AN14" i="11"/>
  <c r="T14" i="11"/>
  <c r="AO14" i="11"/>
  <c r="X14" i="11"/>
  <c r="Z14" i="11"/>
  <c r="Y14" i="11"/>
  <c r="AA14" i="11"/>
  <c r="AB14" i="11"/>
  <c r="AC14" i="11"/>
  <c r="AD14" i="11"/>
  <c r="AU14" i="11"/>
  <c r="AE14" i="11"/>
  <c r="AV14" i="11"/>
  <c r="AF14" i="11"/>
  <c r="AW14" i="11"/>
  <c r="C15" i="11"/>
  <c r="AH15" i="11"/>
  <c r="K15" i="11"/>
  <c r="AI15" i="11"/>
  <c r="AJ15" i="11"/>
  <c r="L15" i="11"/>
  <c r="AK15" i="11"/>
  <c r="AL15" i="11"/>
  <c r="E15" i="11"/>
  <c r="N15" i="11"/>
  <c r="M15" i="11"/>
  <c r="F15" i="11"/>
  <c r="O15" i="11"/>
  <c r="G15" i="11"/>
  <c r="P15" i="11"/>
  <c r="H15" i="11"/>
  <c r="Q15" i="11"/>
  <c r="R15" i="11"/>
  <c r="AM15" i="11"/>
  <c r="S15" i="11"/>
  <c r="AN15" i="11"/>
  <c r="T15" i="11"/>
  <c r="AO15" i="11"/>
  <c r="X15" i="11"/>
  <c r="Z15" i="11"/>
  <c r="Y15" i="11"/>
  <c r="AA15" i="11"/>
  <c r="AB15" i="11"/>
  <c r="AC15" i="11"/>
  <c r="AD15" i="11"/>
  <c r="AU15" i="11"/>
  <c r="AE15" i="11"/>
  <c r="AV15" i="11"/>
  <c r="AF15" i="11"/>
  <c r="AW15" i="11"/>
  <c r="C16" i="11"/>
  <c r="AH16" i="11"/>
  <c r="K16" i="11"/>
  <c r="AI16" i="11"/>
  <c r="AJ16" i="11"/>
  <c r="L16" i="11"/>
  <c r="AK16" i="11"/>
  <c r="AL16" i="11"/>
  <c r="E16" i="11"/>
  <c r="N16" i="11"/>
  <c r="M16" i="11"/>
  <c r="F16" i="11"/>
  <c r="O16" i="11"/>
  <c r="G16" i="11"/>
  <c r="P16" i="11"/>
  <c r="H16" i="11"/>
  <c r="Q16" i="11"/>
  <c r="R16" i="11"/>
  <c r="AM16" i="11"/>
  <c r="S16" i="11"/>
  <c r="AN16" i="11"/>
  <c r="T16" i="11"/>
  <c r="AO16" i="11"/>
  <c r="Y16" i="11"/>
  <c r="AA16" i="11"/>
  <c r="X16" i="11"/>
  <c r="Z16" i="11"/>
  <c r="AB16" i="11"/>
  <c r="AC16" i="11"/>
  <c r="AD16" i="11"/>
  <c r="AU16" i="11"/>
  <c r="AE16" i="11"/>
  <c r="AV16" i="11"/>
  <c r="AF16" i="11"/>
  <c r="AW16" i="11"/>
  <c r="C17" i="11"/>
  <c r="AH17" i="11"/>
  <c r="K17" i="11"/>
  <c r="AI17" i="11"/>
  <c r="AJ17" i="11"/>
  <c r="L17" i="11"/>
  <c r="AK17" i="11"/>
  <c r="AL17" i="11"/>
  <c r="E17" i="11"/>
  <c r="N17" i="11"/>
  <c r="M17" i="11"/>
  <c r="F17" i="11"/>
  <c r="O17" i="11"/>
  <c r="G17" i="11"/>
  <c r="P17" i="11"/>
  <c r="H17" i="11"/>
  <c r="Q17" i="11"/>
  <c r="R17" i="11"/>
  <c r="AM17" i="11"/>
  <c r="S17" i="11"/>
  <c r="AN17" i="11"/>
  <c r="T17" i="11"/>
  <c r="AO17" i="11"/>
  <c r="X17" i="11"/>
  <c r="Z17" i="11"/>
  <c r="Y17" i="11"/>
  <c r="AA17" i="11"/>
  <c r="AB17" i="11"/>
  <c r="AC17" i="11"/>
  <c r="AD17" i="11"/>
  <c r="AU17" i="11"/>
  <c r="AE17" i="11"/>
  <c r="AV17" i="11"/>
  <c r="AF17" i="11"/>
  <c r="AW17" i="11"/>
  <c r="C18" i="11"/>
  <c r="AH18" i="11"/>
  <c r="K18" i="11"/>
  <c r="AI18" i="11"/>
  <c r="AJ18" i="11"/>
  <c r="L18" i="11"/>
  <c r="AK18" i="11"/>
  <c r="AL18" i="11"/>
  <c r="E18" i="11"/>
  <c r="N18" i="11"/>
  <c r="M18" i="11"/>
  <c r="F18" i="11"/>
  <c r="O18" i="11"/>
  <c r="G18" i="11"/>
  <c r="P18" i="11"/>
  <c r="H18" i="11"/>
  <c r="Q18" i="11"/>
  <c r="R18" i="11"/>
  <c r="AM18" i="11"/>
  <c r="S18" i="11"/>
  <c r="AN18" i="11"/>
  <c r="T18" i="11"/>
  <c r="AO18" i="11"/>
  <c r="Y18" i="11"/>
  <c r="AA18" i="11"/>
  <c r="X18" i="11"/>
  <c r="Z18" i="11"/>
  <c r="AB18" i="11"/>
  <c r="AC18" i="11"/>
  <c r="AD18" i="11"/>
  <c r="AU18" i="11"/>
  <c r="AE18" i="11"/>
  <c r="AV18" i="11"/>
  <c r="AF18" i="11"/>
  <c r="AW18" i="11"/>
  <c r="C19" i="11"/>
  <c r="AH19" i="11"/>
  <c r="K19" i="11"/>
  <c r="AI19" i="11"/>
  <c r="AJ19" i="11"/>
  <c r="L19" i="11"/>
  <c r="AK19" i="11"/>
  <c r="AL19" i="11"/>
  <c r="E19" i="11"/>
  <c r="N19" i="11"/>
  <c r="M19" i="11"/>
  <c r="F19" i="11"/>
  <c r="O19" i="11"/>
  <c r="G19" i="11"/>
  <c r="P19" i="11"/>
  <c r="H19" i="11"/>
  <c r="Q19" i="11"/>
  <c r="R19" i="11"/>
  <c r="AM19" i="11"/>
  <c r="S19" i="11"/>
  <c r="AN19" i="11"/>
  <c r="T19" i="11"/>
  <c r="AO19" i="11"/>
  <c r="X19" i="11"/>
  <c r="Z19" i="11"/>
  <c r="Y19" i="11"/>
  <c r="AA19" i="11"/>
  <c r="AB19" i="11"/>
  <c r="AC19" i="11"/>
  <c r="AD19" i="11"/>
  <c r="AU19" i="11"/>
  <c r="AE19" i="11"/>
  <c r="AV19" i="11"/>
  <c r="AF19" i="11"/>
  <c r="AW19" i="11"/>
  <c r="C20" i="11"/>
  <c r="AH20" i="11"/>
  <c r="K20" i="11"/>
  <c r="AI20" i="11"/>
  <c r="AJ20" i="11"/>
  <c r="L20" i="11"/>
  <c r="AK20" i="11"/>
  <c r="AL20" i="11"/>
  <c r="E20" i="11"/>
  <c r="N20" i="11"/>
  <c r="M20" i="11"/>
  <c r="F20" i="11"/>
  <c r="O20" i="11"/>
  <c r="G20" i="11"/>
  <c r="P20" i="11"/>
  <c r="H20" i="11"/>
  <c r="Q20" i="11"/>
  <c r="R20" i="11"/>
  <c r="AM20" i="11"/>
  <c r="S20" i="11"/>
  <c r="AN20" i="11"/>
  <c r="T20" i="11"/>
  <c r="AO20" i="11"/>
  <c r="X20" i="11"/>
  <c r="Z20" i="11"/>
  <c r="Y20" i="11"/>
  <c r="AA20" i="11"/>
  <c r="AB20" i="11"/>
  <c r="AC20" i="11"/>
  <c r="AD20" i="11"/>
  <c r="AU20" i="11"/>
  <c r="AE20" i="11"/>
  <c r="AV20" i="11"/>
  <c r="AF20" i="11"/>
  <c r="AW20" i="11"/>
  <c r="C21" i="11"/>
  <c r="AH21" i="11"/>
  <c r="K21" i="11"/>
  <c r="AI21" i="11"/>
  <c r="AJ21" i="11"/>
  <c r="L21" i="11"/>
  <c r="AK21" i="11"/>
  <c r="AL21" i="11"/>
  <c r="E21" i="11"/>
  <c r="N21" i="11"/>
  <c r="M21" i="11"/>
  <c r="F21" i="11"/>
  <c r="O21" i="11"/>
  <c r="G21" i="11"/>
  <c r="P21" i="11"/>
  <c r="H21" i="11"/>
  <c r="Q21" i="11"/>
  <c r="R21" i="11"/>
  <c r="AM21" i="11"/>
  <c r="S21" i="11"/>
  <c r="AN21" i="11"/>
  <c r="T21" i="11"/>
  <c r="AO21" i="11"/>
  <c r="Y21" i="11"/>
  <c r="AA21" i="11"/>
  <c r="X21" i="11"/>
  <c r="Z21" i="11"/>
  <c r="AB21" i="11"/>
  <c r="AC21" i="11"/>
  <c r="AD21" i="11"/>
  <c r="AU21" i="11"/>
  <c r="AE21" i="11"/>
  <c r="AV21" i="11"/>
  <c r="AF21" i="11"/>
  <c r="AW21" i="11"/>
  <c r="C22" i="11"/>
  <c r="AH22" i="11"/>
  <c r="K22" i="11"/>
  <c r="AI22" i="11"/>
  <c r="L22" i="11"/>
  <c r="E22" i="11"/>
  <c r="N22" i="11"/>
  <c r="M22" i="11"/>
  <c r="F22" i="11"/>
  <c r="O22" i="11"/>
  <c r="G22" i="11"/>
  <c r="P22" i="11"/>
  <c r="H22" i="11"/>
  <c r="Q22" i="11"/>
  <c r="R22" i="11"/>
  <c r="AM22" i="11"/>
  <c r="S22" i="11"/>
  <c r="AN22" i="11"/>
  <c r="T22" i="11"/>
  <c r="AO22" i="11"/>
  <c r="X22" i="11"/>
  <c r="Z22" i="11"/>
  <c r="Y22" i="11"/>
  <c r="AA22" i="11"/>
  <c r="AB22" i="11"/>
  <c r="AC22" i="11"/>
  <c r="AD22" i="11"/>
  <c r="AU22" i="11"/>
  <c r="AE22" i="11"/>
  <c r="AV22" i="11"/>
  <c r="AF22" i="11"/>
  <c r="AW22" i="11"/>
  <c r="L23" i="11"/>
  <c r="C23" i="11"/>
  <c r="E23" i="11"/>
  <c r="N23" i="11"/>
  <c r="M23" i="11"/>
  <c r="F23" i="11"/>
  <c r="O23" i="11"/>
  <c r="G23" i="11"/>
  <c r="P23" i="11"/>
  <c r="H23" i="11"/>
  <c r="Q23" i="11"/>
  <c r="R23" i="11"/>
  <c r="AM23" i="11"/>
  <c r="S23" i="11"/>
  <c r="AN23" i="11"/>
  <c r="T23" i="11"/>
  <c r="AO23" i="11"/>
  <c r="X23" i="11"/>
  <c r="Z23" i="11"/>
  <c r="Y23" i="11"/>
  <c r="AA23" i="11"/>
  <c r="AB23" i="11"/>
  <c r="AC23" i="11"/>
  <c r="AD23" i="11"/>
  <c r="AU23" i="11"/>
  <c r="AE23" i="11"/>
  <c r="AV23" i="11"/>
  <c r="AF23" i="11"/>
  <c r="AW23" i="11"/>
  <c r="L24" i="11"/>
  <c r="C24" i="11"/>
  <c r="E24" i="11"/>
  <c r="N24" i="11"/>
  <c r="M24" i="11"/>
  <c r="F24" i="11"/>
  <c r="O24" i="11"/>
  <c r="G24" i="11"/>
  <c r="P24" i="11"/>
  <c r="H24" i="11"/>
  <c r="Q24" i="11"/>
  <c r="R24" i="11"/>
  <c r="AM24" i="11"/>
  <c r="S24" i="11"/>
  <c r="AN24" i="11"/>
  <c r="T24" i="11"/>
  <c r="AO24" i="11"/>
  <c r="X24" i="11"/>
  <c r="Z24" i="11"/>
  <c r="Y24" i="11"/>
  <c r="AA24" i="11"/>
  <c r="AB24" i="11"/>
  <c r="AC24" i="11"/>
  <c r="AD24" i="11"/>
  <c r="AU24" i="11"/>
  <c r="AE24" i="11"/>
  <c r="AV24" i="11"/>
  <c r="AF24" i="11"/>
  <c r="AW24" i="11"/>
  <c r="L25" i="11"/>
  <c r="C25" i="11"/>
  <c r="E25" i="11"/>
  <c r="N25" i="11"/>
  <c r="M25" i="11"/>
  <c r="F25" i="11"/>
  <c r="O25" i="11"/>
  <c r="G25" i="11"/>
  <c r="P25" i="11"/>
  <c r="Q25" i="11"/>
  <c r="R25" i="11"/>
  <c r="AM25" i="11"/>
  <c r="S25" i="11"/>
  <c r="AN25" i="11"/>
  <c r="T25" i="11"/>
  <c r="AO25" i="11"/>
  <c r="X25" i="11"/>
  <c r="Z25" i="11"/>
  <c r="Y25" i="11"/>
  <c r="AA25" i="11"/>
  <c r="AB25" i="11"/>
  <c r="AC25" i="11"/>
  <c r="AD25" i="11"/>
  <c r="AU25" i="11"/>
  <c r="AE25" i="11"/>
  <c r="AV25" i="11"/>
  <c r="AF25" i="11"/>
  <c r="AW25" i="11"/>
  <c r="L26" i="11"/>
  <c r="N26" i="11"/>
  <c r="C26" i="11"/>
  <c r="M26" i="11"/>
  <c r="F26" i="11"/>
  <c r="O26" i="11"/>
  <c r="G26" i="11"/>
  <c r="P26" i="11"/>
  <c r="H26" i="11"/>
  <c r="Q26" i="11"/>
  <c r="R26" i="11"/>
  <c r="AM26" i="11"/>
  <c r="S26" i="11"/>
  <c r="AN26" i="11"/>
  <c r="T26" i="11"/>
  <c r="AO26" i="11"/>
  <c r="X26" i="11"/>
  <c r="Z26" i="11"/>
  <c r="Y26" i="11"/>
  <c r="AA26" i="11"/>
  <c r="AB26" i="11"/>
  <c r="AC26" i="11"/>
  <c r="AD26" i="11"/>
  <c r="AU26" i="11"/>
  <c r="AE26" i="11"/>
  <c r="AV26" i="11"/>
  <c r="AF26" i="11"/>
  <c r="AW26" i="11"/>
  <c r="L27" i="11"/>
  <c r="C27" i="11"/>
  <c r="E27" i="11"/>
  <c r="N27" i="11"/>
  <c r="M27" i="11"/>
  <c r="F27" i="11"/>
  <c r="O27" i="11"/>
  <c r="G27" i="11"/>
  <c r="P27" i="11"/>
  <c r="Q27" i="11"/>
  <c r="R27" i="11"/>
  <c r="AM27" i="11"/>
  <c r="S27" i="11"/>
  <c r="AN27" i="11"/>
  <c r="T27" i="11"/>
  <c r="AO27" i="11"/>
  <c r="X27" i="11"/>
  <c r="Z27" i="11"/>
  <c r="Y27" i="11"/>
  <c r="AA27" i="11"/>
  <c r="AB27" i="11"/>
  <c r="AC27" i="11"/>
  <c r="AD27" i="11"/>
  <c r="AU27" i="11"/>
  <c r="AE27" i="11"/>
  <c r="AV27" i="11"/>
  <c r="AF27" i="11"/>
  <c r="AW27" i="11"/>
  <c r="L28" i="11"/>
  <c r="N28" i="11"/>
  <c r="C28" i="11"/>
  <c r="M28" i="11"/>
  <c r="F28" i="11"/>
  <c r="O28" i="11"/>
  <c r="G28" i="11"/>
  <c r="P28" i="11"/>
  <c r="H28" i="11"/>
  <c r="Q28" i="11"/>
  <c r="R28" i="11"/>
  <c r="AM28" i="11"/>
  <c r="S28" i="11"/>
  <c r="AN28" i="11"/>
  <c r="T28" i="11"/>
  <c r="AO28" i="11"/>
  <c r="X28" i="11"/>
  <c r="Z28" i="11"/>
  <c r="Y28" i="11"/>
  <c r="AA28" i="11"/>
  <c r="AB28" i="11"/>
  <c r="AC28" i="11"/>
  <c r="AD28" i="11"/>
  <c r="AU28" i="11"/>
  <c r="AE28" i="11"/>
  <c r="AV28" i="11"/>
  <c r="AF28" i="11"/>
  <c r="AW28" i="11"/>
  <c r="L29" i="11"/>
  <c r="C29" i="11"/>
  <c r="E29" i="11"/>
  <c r="N29" i="11"/>
  <c r="M29" i="11"/>
  <c r="F29" i="11"/>
  <c r="O29" i="11"/>
  <c r="G29" i="11"/>
  <c r="P29" i="11"/>
  <c r="H29" i="11"/>
  <c r="Q29" i="11"/>
  <c r="R29" i="11"/>
  <c r="AM29" i="11"/>
  <c r="S29" i="11"/>
  <c r="AN29" i="11"/>
  <c r="T29" i="11"/>
  <c r="AO29" i="11"/>
  <c r="X29" i="11"/>
  <c r="Z29" i="11"/>
  <c r="Y29" i="11"/>
  <c r="AA29" i="11"/>
  <c r="AB29" i="11"/>
  <c r="AC29" i="11"/>
  <c r="AD29" i="11"/>
  <c r="AU29" i="11"/>
  <c r="AE29" i="11"/>
  <c r="AV29" i="11"/>
  <c r="AF29" i="11"/>
  <c r="AW29" i="11"/>
  <c r="L30" i="11"/>
  <c r="C30" i="11"/>
  <c r="E30" i="11"/>
  <c r="N30" i="11"/>
  <c r="M30" i="11"/>
  <c r="F30" i="11"/>
  <c r="O30" i="11"/>
  <c r="G30" i="11"/>
  <c r="P30" i="11"/>
  <c r="Q30" i="11"/>
  <c r="R30" i="11"/>
  <c r="AM30" i="11"/>
  <c r="S30" i="11"/>
  <c r="AN30" i="11"/>
  <c r="T30" i="11"/>
  <c r="AO30" i="11"/>
  <c r="V31" i="11"/>
  <c r="X30" i="11"/>
  <c r="Z30" i="11"/>
  <c r="Y30" i="11"/>
  <c r="AA30" i="11"/>
  <c r="AB30" i="11"/>
  <c r="AC30" i="11"/>
  <c r="AD30" i="11"/>
  <c r="AU30" i="11"/>
  <c r="AE30" i="11"/>
  <c r="AV30" i="11"/>
  <c r="AF30" i="11"/>
  <c r="AW30" i="11"/>
  <c r="N31" i="11"/>
  <c r="C31" i="11"/>
  <c r="M31" i="11"/>
  <c r="F31" i="11"/>
  <c r="O31" i="11"/>
  <c r="L31" i="11"/>
  <c r="P31" i="11"/>
  <c r="H31" i="11"/>
  <c r="Q31" i="11"/>
  <c r="R31" i="11"/>
  <c r="AM31" i="11"/>
  <c r="S31" i="11"/>
  <c r="AN31" i="11"/>
  <c r="T31" i="11"/>
  <c r="AO31" i="11"/>
  <c r="X31" i="11"/>
  <c r="Z31" i="11"/>
  <c r="Y31" i="11"/>
  <c r="AA31" i="11"/>
  <c r="G31" i="11"/>
  <c r="AB31" i="11"/>
  <c r="AC31" i="11"/>
  <c r="AD31" i="11"/>
  <c r="AU31" i="11"/>
  <c r="AE31" i="11"/>
  <c r="AV31" i="11"/>
  <c r="AF31" i="11"/>
  <c r="AW31" i="11"/>
  <c r="AL22" i="11"/>
  <c r="AL23" i="11"/>
  <c r="AL24" i="11"/>
  <c r="AL25" i="11"/>
  <c r="AL26" i="11"/>
  <c r="AL27" i="11"/>
  <c r="AL28" i="11"/>
  <c r="AL29" i="11"/>
  <c r="AL30" i="11"/>
  <c r="AL31" i="11"/>
  <c r="AJ51" i="11"/>
  <c r="AL51" i="11"/>
  <c r="AO51" i="11"/>
  <c r="BC17" i="11"/>
  <c r="AN51" i="11"/>
  <c r="BB17" i="11"/>
  <c r="BD17" i="11"/>
  <c r="AM51" i="11"/>
  <c r="BA17" i="11"/>
  <c r="AH29" i="11"/>
  <c r="K29" i="11"/>
  <c r="AI29" i="11"/>
  <c r="AH30" i="11"/>
  <c r="AH31" i="11"/>
  <c r="AH23" i="11"/>
  <c r="AH24" i="11"/>
  <c r="AH25" i="11"/>
  <c r="AH26" i="11"/>
  <c r="AJ22" i="11"/>
  <c r="AK22" i="11"/>
  <c r="K23" i="11"/>
  <c r="AI23" i="11"/>
  <c r="AJ23" i="11"/>
  <c r="AK23" i="11"/>
  <c r="K24" i="11"/>
  <c r="AI24" i="11"/>
  <c r="AJ24" i="11"/>
  <c r="AK24" i="11"/>
  <c r="K25" i="11"/>
  <c r="AI25" i="11"/>
  <c r="AJ25" i="11"/>
  <c r="AK25" i="11"/>
  <c r="K26" i="11"/>
  <c r="AI26" i="11"/>
  <c r="AJ26" i="11"/>
  <c r="AK26" i="11"/>
  <c r="AH27" i="11"/>
  <c r="K27" i="11"/>
  <c r="AI27" i="11"/>
  <c r="AJ27" i="11"/>
  <c r="AK27" i="11"/>
  <c r="AH28" i="11"/>
  <c r="K28" i="11"/>
  <c r="AI28" i="11"/>
  <c r="AJ28" i="11"/>
  <c r="AK28" i="11"/>
  <c r="AJ29" i="11"/>
  <c r="AK29" i="11"/>
  <c r="K30" i="11"/>
  <c r="AI30" i="11"/>
  <c r="AJ30" i="11"/>
  <c r="AK30" i="11"/>
  <c r="K31" i="11"/>
  <c r="AI31" i="11"/>
  <c r="AJ31" i="11"/>
  <c r="AK31" i="11"/>
  <c r="AH50" i="11"/>
  <c r="AJ50" i="11"/>
  <c r="AZ17" i="11"/>
  <c r="AJ49" i="11"/>
  <c r="AL49" i="11"/>
  <c r="AM49" i="11"/>
  <c r="BA16" i="11"/>
  <c r="AH48" i="11"/>
  <c r="AJ48" i="11"/>
  <c r="AZ16" i="11"/>
  <c r="AT6" i="11"/>
  <c r="AT7" i="11"/>
  <c r="AT8" i="11"/>
  <c r="AT9" i="11"/>
  <c r="AS6" i="11"/>
  <c r="AP7" i="11"/>
  <c r="W7" i="11"/>
  <c r="AQ7" i="11"/>
  <c r="AR7" i="11"/>
  <c r="AS7" i="11"/>
  <c r="AP8" i="11"/>
  <c r="W8" i="11"/>
  <c r="AQ8" i="11"/>
  <c r="AR8" i="11"/>
  <c r="AS8" i="11"/>
  <c r="AP9" i="11"/>
  <c r="W9" i="11"/>
  <c r="AQ9" i="11"/>
  <c r="AR9" i="11"/>
  <c r="AS9" i="11"/>
  <c r="AP10" i="11"/>
  <c r="W10" i="11"/>
  <c r="AQ10" i="11"/>
  <c r="AR10" i="11"/>
  <c r="AS10" i="11"/>
  <c r="AT10" i="11"/>
  <c r="AP11" i="11"/>
  <c r="W11" i="11"/>
  <c r="AQ11" i="11"/>
  <c r="AR11" i="11"/>
  <c r="AS11" i="11"/>
  <c r="AT11" i="11"/>
  <c r="AP12" i="11"/>
  <c r="W12" i="11"/>
  <c r="AQ12" i="11"/>
  <c r="AR12" i="11"/>
  <c r="AS12" i="11"/>
  <c r="AT12" i="11"/>
  <c r="AP13" i="11"/>
  <c r="W13" i="11"/>
  <c r="AQ13" i="11"/>
  <c r="AR13" i="11"/>
  <c r="AS13" i="11"/>
  <c r="AT13" i="11"/>
  <c r="AP14" i="11"/>
  <c r="W14" i="11"/>
  <c r="AQ14" i="11"/>
  <c r="AR14" i="11"/>
  <c r="AS14" i="11"/>
  <c r="AT14" i="11"/>
  <c r="AP15" i="11"/>
  <c r="W15" i="11"/>
  <c r="AQ15" i="11"/>
  <c r="AR15" i="11"/>
  <c r="AS15" i="11"/>
  <c r="AT15" i="11"/>
  <c r="AP16" i="11"/>
  <c r="W16" i="11"/>
  <c r="AQ16" i="11"/>
  <c r="AR16" i="11"/>
  <c r="AS16" i="11"/>
  <c r="AT16" i="11"/>
  <c r="AP17" i="11"/>
  <c r="W17" i="11"/>
  <c r="AQ17" i="11"/>
  <c r="AR17" i="11"/>
  <c r="AS17" i="11"/>
  <c r="AT17" i="11"/>
  <c r="AP18" i="11"/>
  <c r="W18" i="11"/>
  <c r="AQ18" i="11"/>
  <c r="AR18" i="11"/>
  <c r="AS18" i="11"/>
  <c r="AT18" i="11"/>
  <c r="AP19" i="11"/>
  <c r="W19" i="11"/>
  <c r="AQ19" i="11"/>
  <c r="AR19" i="11"/>
  <c r="AS19" i="11"/>
  <c r="AT19" i="11"/>
  <c r="AP20" i="11"/>
  <c r="W20" i="11"/>
  <c r="AQ20" i="11"/>
  <c r="AR20" i="11"/>
  <c r="AS20" i="11"/>
  <c r="AT20" i="11"/>
  <c r="AP21" i="11"/>
  <c r="W21" i="11"/>
  <c r="AQ21" i="11"/>
  <c r="AR21" i="11"/>
  <c r="AS21" i="11"/>
  <c r="AT21" i="11"/>
  <c r="AP22" i="11"/>
  <c r="W22" i="11"/>
  <c r="AQ22" i="11"/>
  <c r="AT22" i="11"/>
  <c r="AT23" i="11"/>
  <c r="AT24" i="11"/>
  <c r="AT25" i="11"/>
  <c r="AT26" i="11"/>
  <c r="AT27" i="11"/>
  <c r="AT28" i="11"/>
  <c r="AT29" i="11"/>
  <c r="AT30" i="11"/>
  <c r="AT31" i="11"/>
  <c r="AT48" i="11"/>
  <c r="AR49" i="11"/>
  <c r="AT49" i="11"/>
  <c r="AF6" i="11"/>
  <c r="AW6" i="11"/>
  <c r="AW49" i="11"/>
  <c r="BK17" i="11"/>
  <c r="BI17" i="11"/>
  <c r="AE6" i="11"/>
  <c r="AV6" i="11"/>
  <c r="AV49" i="11"/>
  <c r="BH17" i="11"/>
  <c r="BJ17" i="11"/>
  <c r="H60" i="16"/>
  <c r="AO49" i="11"/>
  <c r="BC16" i="11"/>
  <c r="AN49" i="11"/>
  <c r="BB16" i="11"/>
  <c r="BD16" i="11"/>
  <c r="AJ47" i="11"/>
  <c r="AL47" i="11"/>
  <c r="AM47" i="11"/>
  <c r="BA15" i="11"/>
  <c r="AH46" i="11"/>
  <c r="AJ46" i="11"/>
  <c r="AH6" i="11"/>
  <c r="AI47" i="11"/>
  <c r="AJ6" i="11"/>
  <c r="AK47" i="11"/>
  <c r="AZ15" i="11"/>
  <c r="AT46" i="11"/>
  <c r="AR47" i="11"/>
  <c r="AT47" i="11"/>
  <c r="AW47" i="11"/>
  <c r="BK16" i="11"/>
  <c r="BI16" i="11"/>
  <c r="AV47" i="11"/>
  <c r="BH16" i="11"/>
  <c r="BJ16" i="11"/>
  <c r="H59" i="16"/>
  <c r="AO47" i="11"/>
  <c r="BC15" i="11"/>
  <c r="AN47" i="11"/>
  <c r="BB15" i="11"/>
  <c r="BD15" i="11"/>
  <c r="AJ45" i="11"/>
  <c r="AL45" i="11"/>
  <c r="AM45" i="11"/>
  <c r="BA14" i="11"/>
  <c r="AH44" i="11"/>
  <c r="AJ44" i="11"/>
  <c r="AI45" i="11"/>
  <c r="AK45" i="11"/>
  <c r="AZ14" i="11"/>
  <c r="AT44" i="11"/>
  <c r="AR45" i="11"/>
  <c r="AT45" i="11"/>
  <c r="AW45" i="11"/>
  <c r="BK15" i="11"/>
  <c r="BI15" i="11"/>
  <c r="AV45" i="11"/>
  <c r="BH15" i="11"/>
  <c r="BJ15" i="11"/>
  <c r="H58" i="16"/>
  <c r="AO45" i="11"/>
  <c r="BC14" i="11"/>
  <c r="AN45" i="11"/>
  <c r="BB14" i="11"/>
  <c r="BD14" i="11"/>
  <c r="BK14" i="11"/>
  <c r="AJ43" i="11"/>
  <c r="AL43" i="11"/>
  <c r="AM43" i="11"/>
  <c r="BA13" i="11"/>
  <c r="AH42" i="11"/>
  <c r="AJ42" i="11"/>
  <c r="AI43" i="11"/>
  <c r="AK43" i="11"/>
  <c r="AZ13" i="11"/>
  <c r="AT42" i="11"/>
  <c r="AR43" i="11"/>
  <c r="AT43" i="11"/>
  <c r="AW43" i="11"/>
  <c r="BI14" i="11"/>
  <c r="AV43" i="11"/>
  <c r="BH14" i="11"/>
  <c r="BJ14" i="11"/>
  <c r="H57" i="16"/>
  <c r="AO43" i="11"/>
  <c r="BC13" i="11"/>
  <c r="AN43" i="11"/>
  <c r="BB13" i="11"/>
  <c r="BD13" i="11"/>
  <c r="BK13" i="11"/>
  <c r="AJ41" i="11"/>
  <c r="AL41" i="11"/>
  <c r="AM41" i="11"/>
  <c r="BA12" i="11"/>
  <c r="AH40" i="11"/>
  <c r="AJ40" i="11"/>
  <c r="AI41" i="11"/>
  <c r="AK41" i="11"/>
  <c r="AZ12" i="11"/>
  <c r="AT40" i="11"/>
  <c r="AR41" i="11"/>
  <c r="AT41" i="11"/>
  <c r="AW41" i="11"/>
  <c r="BI13" i="11"/>
  <c r="AV41" i="11"/>
  <c r="BH13" i="11"/>
  <c r="BJ13" i="11"/>
  <c r="H56" i="16"/>
  <c r="AO41" i="11"/>
  <c r="BC12" i="11"/>
  <c r="AN41" i="11"/>
  <c r="BB12" i="11"/>
  <c r="BD12" i="11"/>
  <c r="BK12" i="11"/>
  <c r="AJ39" i="11"/>
  <c r="AL39" i="11"/>
  <c r="AM39" i="11"/>
  <c r="BA11" i="11"/>
  <c r="AH38" i="11"/>
  <c r="AJ38" i="11"/>
  <c r="AI39" i="11"/>
  <c r="AK39" i="11"/>
  <c r="AZ11" i="11"/>
  <c r="AT38" i="11"/>
  <c r="AR39" i="11"/>
  <c r="AT39" i="11"/>
  <c r="AO39" i="11"/>
  <c r="BC11" i="11"/>
  <c r="AN39" i="11"/>
  <c r="BB11" i="11"/>
  <c r="BD11" i="11"/>
  <c r="BK11" i="11"/>
  <c r="AJ37" i="11"/>
  <c r="AL37" i="11"/>
  <c r="AM37" i="11"/>
  <c r="BA10" i="11"/>
  <c r="AH36" i="11"/>
  <c r="AJ36" i="11"/>
  <c r="AI37" i="11"/>
  <c r="AK37" i="11"/>
  <c r="AZ10" i="11"/>
  <c r="AT36" i="11"/>
  <c r="AR37" i="11"/>
  <c r="AT37" i="11"/>
  <c r="AW37" i="11"/>
  <c r="BI11" i="11"/>
  <c r="AV37" i="11"/>
  <c r="BH11" i="11"/>
  <c r="BJ11" i="11"/>
  <c r="H54" i="16"/>
  <c r="AO37" i="11"/>
  <c r="BC10" i="11"/>
  <c r="AN37" i="11"/>
  <c r="BB10" i="11"/>
  <c r="BD10" i="11"/>
  <c r="BK10" i="11"/>
  <c r="AJ35" i="11"/>
  <c r="AL35" i="11"/>
  <c r="R7" i="11"/>
  <c r="AM7" i="11"/>
  <c r="AM35" i="11"/>
  <c r="BA9" i="11"/>
  <c r="AH34" i="11"/>
  <c r="AJ34" i="11"/>
  <c r="AI35" i="11"/>
  <c r="AK35" i="11"/>
  <c r="AZ9" i="11"/>
  <c r="AT34" i="11"/>
  <c r="AR35" i="11"/>
  <c r="AT35" i="11"/>
  <c r="AW35" i="11"/>
  <c r="BI10" i="11"/>
  <c r="AV35" i="11"/>
  <c r="BH10" i="11"/>
  <c r="BJ10" i="11"/>
  <c r="H53" i="16"/>
  <c r="AO35" i="11"/>
  <c r="BC9" i="11"/>
  <c r="AN35" i="11"/>
  <c r="BB9" i="11"/>
  <c r="BD9" i="11"/>
  <c r="BK9" i="11"/>
  <c r="AJ33" i="11"/>
  <c r="AL33" i="11"/>
  <c r="AH32" i="11"/>
  <c r="K6" i="11"/>
  <c r="AI6" i="11"/>
  <c r="AJ32" i="11"/>
  <c r="BI9" i="11"/>
  <c r="BH9" i="11"/>
  <c r="BJ9" i="11"/>
  <c r="H52" i="16"/>
  <c r="BK8" i="11"/>
  <c r="AT32" i="11"/>
  <c r="AR33" i="11"/>
  <c r="AT33" i="11"/>
  <c r="AW33" i="11"/>
  <c r="F6" i="11"/>
  <c r="O6" i="11"/>
  <c r="H6" i="11"/>
  <c r="AI33" i="11"/>
  <c r="AK6" i="11"/>
  <c r="AK33" i="11"/>
  <c r="BI8" i="11"/>
  <c r="AV33" i="11"/>
  <c r="BH8" i="11"/>
  <c r="BJ8" i="11"/>
  <c r="G60" i="16"/>
  <c r="G59" i="16"/>
  <c r="G58" i="16"/>
  <c r="G57" i="16"/>
  <c r="G56" i="16"/>
  <c r="G54" i="16"/>
  <c r="G53" i="16"/>
  <c r="G52" i="16"/>
  <c r="BE17" i="11"/>
  <c r="F60" i="16"/>
  <c r="BE16" i="11"/>
  <c r="F59" i="16"/>
  <c r="BE15" i="11"/>
  <c r="F58" i="16"/>
  <c r="BE14" i="11"/>
  <c r="F57" i="16"/>
  <c r="BE13" i="11"/>
  <c r="F56" i="16"/>
  <c r="BE12" i="11"/>
  <c r="F55" i="16"/>
  <c r="BE11" i="11"/>
  <c r="F54" i="16"/>
  <c r="BE10" i="11"/>
  <c r="F53" i="16"/>
  <c r="BE9" i="11"/>
  <c r="F52" i="16"/>
  <c r="BE8" i="11"/>
  <c r="F51" i="16"/>
  <c r="I8" i="6"/>
  <c r="I9" i="6"/>
  <c r="I10" i="6"/>
  <c r="I11" i="6"/>
  <c r="I12" i="6"/>
  <c r="I13" i="6"/>
  <c r="I14" i="6"/>
  <c r="I15" i="6"/>
  <c r="I16" i="6"/>
  <c r="I17" i="6"/>
  <c r="I18" i="6"/>
  <c r="I19" i="6"/>
  <c r="I20" i="6"/>
  <c r="I21" i="6"/>
  <c r="I22" i="6"/>
  <c r="I23" i="6"/>
  <c r="I24" i="6"/>
  <c r="I25" i="6"/>
  <c r="I26" i="6"/>
  <c r="I27" i="6"/>
  <c r="I28" i="6"/>
  <c r="I29" i="6"/>
  <c r="I30" i="6"/>
  <c r="I31" i="6"/>
  <c r="I32" i="6"/>
  <c r="I33" i="6"/>
  <c r="J7" i="6"/>
  <c r="I7" i="6"/>
  <c r="F7" i="6"/>
  <c r="F15" i="6"/>
  <c r="F14" i="6"/>
  <c r="F13" i="6"/>
  <c r="F12" i="6"/>
  <c r="F11" i="6"/>
  <c r="F10" i="6"/>
  <c r="F9" i="6"/>
  <c r="W30" i="11"/>
  <c r="W23" i="11"/>
  <c r="W24" i="11"/>
  <c r="W25" i="11"/>
  <c r="W26" i="11"/>
  <c r="W27" i="11"/>
  <c r="W28" i="11"/>
  <c r="W29" i="11"/>
  <c r="W31" i="11"/>
  <c r="EI30" i="5"/>
  <c r="EI31" i="5"/>
  <c r="EF30" i="5"/>
  <c r="EF31" i="5"/>
  <c r="ED31" i="5"/>
  <c r="EA30" i="5"/>
  <c r="EA31" i="5"/>
  <c r="DZ30" i="5"/>
  <c r="DZ31" i="5"/>
  <c r="DY30" i="5"/>
  <c r="DY31" i="5"/>
  <c r="DW30" i="5"/>
  <c r="DW31" i="5"/>
  <c r="DV30" i="5"/>
  <c r="DV31" i="5"/>
  <c r="DU30" i="5"/>
  <c r="DU31" i="5"/>
  <c r="DT30" i="5"/>
  <c r="DT31" i="5"/>
  <c r="DS30" i="5"/>
  <c r="DS31" i="5"/>
  <c r="DR30" i="5"/>
  <c r="DR31" i="5"/>
  <c r="DQ30" i="5"/>
  <c r="DQ31" i="5"/>
  <c r="DP30" i="5"/>
  <c r="DP31" i="5"/>
  <c r="AZ30" i="5"/>
  <c r="AZ31" i="5"/>
  <c r="AY31" i="5"/>
  <c r="AW30" i="5"/>
  <c r="AW31" i="5"/>
  <c r="AV30" i="5"/>
  <c r="AV31" i="5"/>
  <c r="AU30" i="5"/>
  <c r="AU31" i="5"/>
  <c r="AT30" i="5"/>
  <c r="AT31" i="5"/>
  <c r="AS30" i="5"/>
  <c r="AS31" i="5"/>
  <c r="AR30" i="5"/>
  <c r="AR31" i="5"/>
  <c r="AQ30" i="5"/>
  <c r="AQ31" i="5"/>
  <c r="AP30" i="5"/>
  <c r="AP31" i="5"/>
  <c r="AO30" i="5"/>
  <c r="AO31" i="5"/>
  <c r="AN30" i="5"/>
  <c r="AN31" i="5"/>
  <c r="AM30" i="5"/>
  <c r="AM31" i="5"/>
  <c r="AL30" i="5"/>
  <c r="AL31" i="5"/>
  <c r="AK30" i="5"/>
  <c r="AK31" i="5"/>
  <c r="AJ55" i="11"/>
  <c r="AL55" i="11"/>
  <c r="AM5" i="11"/>
  <c r="AO5" i="11"/>
  <c r="W6" i="11"/>
  <c r="AQ6" i="11"/>
  <c r="AR22" i="11"/>
  <c r="AS22" i="11"/>
  <c r="AP23" i="11"/>
  <c r="AQ23" i="11"/>
  <c r="AR23" i="11"/>
  <c r="AS23" i="11"/>
  <c r="AP24" i="11"/>
  <c r="AQ24" i="11"/>
  <c r="AR24" i="11"/>
  <c r="AS24" i="11"/>
  <c r="AP25" i="11"/>
  <c r="AQ25" i="11"/>
  <c r="AR25" i="11"/>
  <c r="AS25" i="11"/>
  <c r="AP26" i="11"/>
  <c r="AQ26" i="11"/>
  <c r="AR26" i="11"/>
  <c r="AS26" i="11"/>
  <c r="AP27" i="11"/>
  <c r="AQ27" i="11"/>
  <c r="AR27" i="11"/>
  <c r="AS27" i="11"/>
  <c r="AP28" i="11"/>
  <c r="AQ28" i="11"/>
  <c r="AR28" i="11"/>
  <c r="AS28" i="11"/>
  <c r="AP29" i="11"/>
  <c r="AQ29" i="11"/>
  <c r="AR29" i="11"/>
  <c r="AS29" i="11"/>
  <c r="AP30" i="11"/>
  <c r="AQ30" i="11"/>
  <c r="AR30" i="11"/>
  <c r="AS30" i="11"/>
  <c r="AP31" i="11"/>
  <c r="AQ31" i="11"/>
  <c r="AR31" i="11"/>
  <c r="AS31" i="11"/>
  <c r="AT54" i="11"/>
  <c r="AR55" i="11"/>
  <c r="AT55" i="11"/>
  <c r="AW55" i="11"/>
  <c r="AZ20" i="11"/>
  <c r="AV55" i="11"/>
  <c r="H25" i="11"/>
  <c r="E26" i="11"/>
  <c r="AJ53" i="11"/>
  <c r="AL53" i="11"/>
  <c r="AT52" i="11"/>
  <c r="AR53" i="11"/>
  <c r="AT53" i="11"/>
  <c r="AW53" i="11"/>
  <c r="AV53" i="11"/>
  <c r="AT50" i="11"/>
  <c r="AR51" i="11"/>
  <c r="AT51" i="11"/>
  <c r="AW51" i="11"/>
  <c r="AV51" i="11"/>
  <c r="AP54" i="11"/>
  <c r="AR54" i="11"/>
  <c r="S21" i="6"/>
  <c r="AP52" i="11"/>
  <c r="AR52" i="11"/>
  <c r="AP50" i="11"/>
  <c r="AR50" i="11"/>
  <c r="AP48" i="11"/>
  <c r="AR48" i="11"/>
  <c r="H27" i="11"/>
  <c r="AP46" i="11"/>
  <c r="AR46" i="11"/>
  <c r="AP44" i="11"/>
  <c r="AR44" i="11"/>
  <c r="AP32" i="11"/>
  <c r="AR32" i="11"/>
  <c r="AP6" i="11"/>
  <c r="AQ33" i="11"/>
  <c r="AR6" i="11"/>
  <c r="AS33" i="11"/>
  <c r="BF8" i="11"/>
  <c r="T9" i="6"/>
  <c r="A6" i="5"/>
  <c r="A6" i="11"/>
  <c r="C3" i="11"/>
  <c r="B3" i="11"/>
  <c r="A3" i="11"/>
  <c r="AC3" i="11"/>
  <c r="AB3" i="11"/>
  <c r="AA3" i="11"/>
  <c r="Z3" i="11"/>
  <c r="Y3" i="11"/>
  <c r="L4" i="1"/>
  <c r="H3" i="5"/>
  <c r="J4" i="1"/>
  <c r="G3" i="5"/>
  <c r="H4" i="1"/>
  <c r="F3" i="5"/>
  <c r="F4" i="1"/>
  <c r="E3" i="5"/>
  <c r="B10" i="15"/>
  <c r="B16" i="15"/>
  <c r="B12" i="15"/>
  <c r="AH52" i="11"/>
  <c r="AJ52" i="11"/>
  <c r="AH54" i="11"/>
  <c r="AJ54" i="11"/>
  <c r="AA6" i="11"/>
  <c r="AC6" i="11"/>
  <c r="AD6" i="11"/>
  <c r="AU6" i="11"/>
  <c r="AU33" i="11"/>
  <c r="BG8" i="11"/>
  <c r="AU47" i="11"/>
  <c r="AU49" i="11"/>
  <c r="AU51" i="11"/>
  <c r="AU53" i="11"/>
  <c r="AU55" i="11"/>
  <c r="F5" i="7"/>
  <c r="O6" i="6"/>
  <c r="C9" i="6"/>
  <c r="C10" i="6"/>
  <c r="C11" i="6"/>
  <c r="C12" i="6"/>
  <c r="C13" i="6"/>
  <c r="C14" i="6"/>
  <c r="C15" i="6"/>
  <c r="C16" i="6"/>
  <c r="C17" i="6"/>
  <c r="C18" i="6"/>
  <c r="C19" i="6"/>
  <c r="C20" i="6"/>
  <c r="C21" i="6"/>
  <c r="C22" i="6"/>
  <c r="C23" i="6"/>
  <c r="C24" i="6"/>
  <c r="C25" i="6"/>
  <c r="C26" i="6"/>
  <c r="C27" i="6"/>
  <c r="C28" i="6"/>
  <c r="C29" i="6"/>
  <c r="C30" i="6"/>
  <c r="C31" i="6"/>
  <c r="C32" i="6"/>
  <c r="C33" i="6"/>
  <c r="AU43" i="11"/>
  <c r="M3" i="11"/>
  <c r="H3" i="11"/>
  <c r="G3" i="11"/>
  <c r="F3" i="11"/>
  <c r="E3" i="11"/>
  <c r="AP42" i="11"/>
  <c r="AR42" i="11"/>
  <c r="A31" i="5"/>
  <c r="A31" i="11"/>
  <c r="H30" i="11"/>
  <c r="E31" i="11"/>
  <c r="E28" i="11"/>
  <c r="A8" i="5"/>
  <c r="A9" i="5"/>
  <c r="A10" i="5"/>
  <c r="A11" i="5"/>
  <c r="A12" i="5"/>
  <c r="A13" i="5"/>
  <c r="A14" i="5"/>
  <c r="A15" i="5"/>
  <c r="A16" i="5"/>
  <c r="A17" i="5"/>
  <c r="A18" i="5"/>
  <c r="A19" i="5"/>
  <c r="A20" i="5"/>
  <c r="A21" i="5"/>
  <c r="A22" i="5"/>
  <c r="A23" i="5"/>
  <c r="A24" i="5"/>
  <c r="A25" i="5"/>
  <c r="A26" i="5"/>
  <c r="A27" i="5"/>
  <c r="A28" i="5"/>
  <c r="A29" i="5"/>
  <c r="A30" i="5"/>
  <c r="A32" i="5"/>
  <c r="A7" i="5"/>
  <c r="T5" i="6"/>
  <c r="A11" i="11"/>
  <c r="A13" i="11"/>
  <c r="A15" i="11"/>
  <c r="A17" i="11"/>
  <c r="A22" i="11"/>
  <c r="A24" i="11"/>
  <c r="A32" i="11"/>
  <c r="B31" i="11"/>
  <c r="B30" i="11"/>
  <c r="A30" i="11"/>
  <c r="B29" i="11"/>
  <c r="A29" i="11"/>
  <c r="B28" i="11"/>
  <c r="A28" i="11"/>
  <c r="B27" i="11"/>
  <c r="A27" i="11"/>
  <c r="B26" i="11"/>
  <c r="A26" i="11"/>
  <c r="B25" i="11"/>
  <c r="A25" i="11"/>
  <c r="B24" i="11"/>
  <c r="B23" i="11"/>
  <c r="A23" i="11"/>
  <c r="B22" i="11"/>
  <c r="B21" i="11"/>
  <c r="A21" i="11"/>
  <c r="B20" i="11"/>
  <c r="A20" i="11"/>
  <c r="B19" i="11"/>
  <c r="A19" i="11"/>
  <c r="B18" i="11"/>
  <c r="A18" i="11"/>
  <c r="B17" i="11"/>
  <c r="B16" i="11"/>
  <c r="A16" i="11"/>
  <c r="B15" i="11"/>
  <c r="B14" i="11"/>
  <c r="A14" i="11"/>
  <c r="B13" i="11"/>
  <c r="B12" i="11"/>
  <c r="A12" i="11"/>
  <c r="B11" i="11"/>
  <c r="B10" i="11"/>
  <c r="A10" i="11"/>
  <c r="B9" i="11"/>
  <c r="A9" i="11"/>
  <c r="B8" i="11"/>
  <c r="A8" i="11"/>
  <c r="B7" i="11"/>
  <c r="A7" i="11"/>
  <c r="AU41" i="11"/>
  <c r="AR40" i="11"/>
  <c r="AP40" i="11"/>
  <c r="AR38" i="11"/>
  <c r="AP38" i="11"/>
  <c r="AU37" i="11"/>
  <c r="AR36" i="11"/>
  <c r="AP36" i="11"/>
  <c r="AU35" i="11"/>
  <c r="AR34" i="11"/>
  <c r="AP34" i="11"/>
  <c r="D26" i="6"/>
  <c r="B28" i="15"/>
  <c r="B48" i="16"/>
  <c r="B15" i="16"/>
  <c r="B9" i="16"/>
  <c r="E18" i="2"/>
  <c r="B25" i="15"/>
  <c r="B23" i="15"/>
  <c r="B20" i="15"/>
  <c r="B18" i="15"/>
  <c r="B14" i="15"/>
  <c r="E7" i="16"/>
  <c r="F49" i="16"/>
  <c r="D15" i="7"/>
  <c r="B2" i="16"/>
  <c r="F16" i="16"/>
  <c r="F11" i="16"/>
  <c r="F10" i="16"/>
  <c r="F8" i="16"/>
  <c r="F6" i="16"/>
  <c r="M26" i="1"/>
  <c r="M33" i="1"/>
  <c r="M32" i="1"/>
  <c r="M31" i="1"/>
  <c r="M30" i="1"/>
  <c r="M29" i="1"/>
  <c r="M28" i="1"/>
  <c r="M27" i="1"/>
  <c r="K33" i="1"/>
  <c r="K32" i="1"/>
  <c r="K31" i="1"/>
  <c r="K30" i="1"/>
  <c r="K29" i="1"/>
  <c r="K28" i="1"/>
  <c r="K27" i="1"/>
  <c r="K26" i="1"/>
  <c r="K25" i="1"/>
  <c r="K24" i="1"/>
  <c r="K23" i="1"/>
  <c r="K22" i="1"/>
  <c r="K21" i="1"/>
  <c r="K20" i="1"/>
  <c r="K19" i="1"/>
  <c r="K18" i="1"/>
  <c r="K17" i="1"/>
  <c r="K16" i="1"/>
  <c r="K15" i="1"/>
  <c r="K14" i="1"/>
  <c r="K13" i="1"/>
  <c r="K12" i="1"/>
  <c r="K11" i="1"/>
  <c r="K10" i="1"/>
  <c r="K9" i="1"/>
  <c r="K8" i="1"/>
  <c r="I33" i="1"/>
  <c r="I32" i="1"/>
  <c r="I31" i="1"/>
  <c r="I30" i="1"/>
  <c r="I29" i="1"/>
  <c r="I28" i="1"/>
  <c r="I27" i="1"/>
  <c r="I26" i="1"/>
  <c r="I25" i="1"/>
  <c r="I24" i="1"/>
  <c r="I23" i="1"/>
  <c r="I22" i="1"/>
  <c r="I21" i="1"/>
  <c r="I20" i="1"/>
  <c r="I19" i="1"/>
  <c r="I18" i="1"/>
  <c r="I17" i="1"/>
  <c r="I16" i="1"/>
  <c r="I15" i="1"/>
  <c r="I14" i="1"/>
  <c r="I13" i="1"/>
  <c r="I12" i="1"/>
  <c r="I11" i="1"/>
  <c r="I10" i="1"/>
  <c r="I9" i="1"/>
  <c r="I8" i="1"/>
  <c r="G33" i="1"/>
  <c r="G32" i="1"/>
  <c r="G31" i="1"/>
  <c r="G30" i="1"/>
  <c r="G29" i="1"/>
  <c r="G28" i="1"/>
  <c r="G27" i="1"/>
  <c r="B3" i="16"/>
  <c r="L16" i="2"/>
  <c r="L15" i="2"/>
  <c r="L14" i="2"/>
  <c r="L13" i="2"/>
  <c r="L11" i="2"/>
  <c r="L10" i="2"/>
  <c r="L9" i="2"/>
  <c r="L8" i="2"/>
  <c r="L7" i="2"/>
  <c r="L6" i="2"/>
  <c r="L5" i="2"/>
  <c r="L4" i="2"/>
  <c r="L3" i="2"/>
  <c r="E35" i="2"/>
  <c r="G26" i="1"/>
  <c r="M25" i="1"/>
  <c r="G25" i="1"/>
  <c r="H20" i="16"/>
  <c r="E12" i="16"/>
  <c r="L6" i="6"/>
  <c r="B6" i="6"/>
  <c r="D9" i="6"/>
  <c r="D10" i="6"/>
  <c r="D11" i="6"/>
  <c r="D12" i="6"/>
  <c r="D13" i="6"/>
  <c r="D14" i="6"/>
  <c r="D15" i="6"/>
  <c r="D16" i="6"/>
  <c r="D17" i="6"/>
  <c r="D18" i="6"/>
  <c r="D19" i="6"/>
  <c r="D20" i="6"/>
  <c r="D21" i="6"/>
  <c r="D22" i="6"/>
  <c r="D23" i="6"/>
  <c r="D24" i="6"/>
  <c r="D25" i="6"/>
  <c r="D27" i="6"/>
  <c r="D28" i="6"/>
  <c r="D29" i="6"/>
  <c r="D30" i="6"/>
  <c r="D31" i="6"/>
  <c r="D32" i="6"/>
  <c r="D33" i="6"/>
  <c r="B8" i="15"/>
  <c r="P9" i="7"/>
  <c r="J44" i="1"/>
  <c r="H44" i="1"/>
  <c r="J43" i="1"/>
  <c r="H43" i="1"/>
  <c r="P23" i="2"/>
  <c r="P22" i="2"/>
  <c r="L18" i="2"/>
  <c r="L17" i="2"/>
  <c r="L12" i="2"/>
  <c r="B19" i="2"/>
  <c r="O5" i="6"/>
  <c r="B30" i="15"/>
  <c r="D16" i="15"/>
  <c r="D14" i="15"/>
  <c r="G2" i="6"/>
  <c r="B49" i="16"/>
  <c r="D3" i="7"/>
  <c r="O8" i="1"/>
  <c r="Q3" i="1"/>
  <c r="B2" i="6"/>
  <c r="O3" i="1"/>
  <c r="K5" i="7"/>
  <c r="G16" i="16"/>
  <c r="H16" i="7"/>
  <c r="H9" i="7"/>
  <c r="E4" i="16"/>
  <c r="D6" i="7"/>
  <c r="P4" i="2"/>
  <c r="P3" i="2"/>
  <c r="B5" i="6"/>
  <c r="H49" i="16"/>
  <c r="Q5" i="6"/>
  <c r="D49" i="16"/>
  <c r="L4" i="6"/>
  <c r="J5" i="6"/>
  <c r="F5" i="6"/>
  <c r="B19" i="16"/>
  <c r="U9" i="2"/>
  <c r="U3" i="2"/>
  <c r="U2" i="2"/>
  <c r="E49" i="16"/>
  <c r="B20" i="16"/>
  <c r="C3" i="1"/>
  <c r="B6" i="15"/>
  <c r="E13" i="16"/>
  <c r="H12" i="7"/>
  <c r="E8" i="16"/>
  <c r="E10" i="16"/>
  <c r="E16" i="16"/>
  <c r="A33" i="5"/>
  <c r="B32" i="5"/>
  <c r="C20" i="16"/>
  <c r="C49" i="16"/>
  <c r="F20" i="16"/>
  <c r="G20" i="16"/>
  <c r="G14" i="16"/>
  <c r="G17" i="16"/>
  <c r="G11" i="7"/>
  <c r="G10" i="16"/>
  <c r="C3" i="5"/>
  <c r="D20" i="16"/>
  <c r="B2" i="2"/>
  <c r="E6" i="16"/>
  <c r="E2" i="2"/>
  <c r="E11" i="16"/>
  <c r="E20" i="16"/>
  <c r="G49" i="16"/>
  <c r="M24" i="1"/>
  <c r="M20" i="1"/>
  <c r="M16" i="1"/>
  <c r="M12" i="1"/>
  <c r="M8" i="1"/>
  <c r="G22" i="1"/>
  <c r="G18" i="1"/>
  <c r="G14" i="1"/>
  <c r="G10" i="1"/>
  <c r="M21" i="1"/>
  <c r="M13" i="1"/>
  <c r="M9" i="1"/>
  <c r="G19" i="1"/>
  <c r="G11" i="1"/>
  <c r="M22" i="1"/>
  <c r="M18" i="1"/>
  <c r="M14" i="1"/>
  <c r="M10" i="1"/>
  <c r="G24" i="1"/>
  <c r="G16" i="1"/>
  <c r="G8" i="1"/>
  <c r="K6" i="1"/>
  <c r="M23" i="1"/>
  <c r="M19" i="1"/>
  <c r="M15" i="1"/>
  <c r="M11" i="1"/>
  <c r="G21" i="1"/>
  <c r="G17" i="1"/>
  <c r="G13" i="1"/>
  <c r="G9" i="1"/>
  <c r="M17" i="1"/>
  <c r="G23" i="1"/>
  <c r="G15" i="1"/>
  <c r="G20" i="1"/>
  <c r="G12" i="1"/>
  <c r="I4" i="6"/>
  <c r="C4" i="1"/>
  <c r="A3" i="5"/>
  <c r="D4" i="1"/>
  <c r="B3" i="5"/>
  <c r="G2" i="2"/>
  <c r="N5" i="6"/>
  <c r="G14" i="7"/>
  <c r="F4" i="6"/>
  <c r="G6" i="2"/>
  <c r="G16" i="2"/>
  <c r="G5" i="2"/>
  <c r="G7" i="2"/>
  <c r="G3" i="2"/>
  <c r="G17" i="2"/>
  <c r="G12" i="2"/>
  <c r="G8" i="2"/>
  <c r="G4" i="2"/>
  <c r="G18" i="2"/>
  <c r="G13" i="2"/>
  <c r="G14" i="2"/>
  <c r="G15" i="2"/>
  <c r="R5" i="6"/>
  <c r="D10" i="7"/>
  <c r="D13" i="7"/>
  <c r="D12" i="7"/>
  <c r="B4" i="6"/>
  <c r="D9" i="7"/>
  <c r="D8" i="7"/>
  <c r="D11" i="7"/>
  <c r="D16" i="7"/>
  <c r="L19" i="2"/>
  <c r="D14" i="7"/>
  <c r="D42" i="2"/>
  <c r="D41" i="2"/>
  <c r="G10" i="2"/>
  <c r="M5" i="6"/>
  <c r="J40" i="6"/>
  <c r="G40" i="6"/>
  <c r="G41" i="6"/>
  <c r="J41" i="6"/>
  <c r="E4" i="1"/>
  <c r="B28" i="2"/>
  <c r="I5" i="6"/>
  <c r="D44" i="2"/>
  <c r="D45" i="2"/>
  <c r="G5" i="6"/>
  <c r="D40" i="2"/>
  <c r="Q5" i="1"/>
  <c r="C5" i="6"/>
  <c r="G9" i="7"/>
  <c r="G11" i="2"/>
  <c r="G9" i="2"/>
  <c r="D43" i="2"/>
  <c r="B29" i="2"/>
  <c r="F19" i="2"/>
  <c r="B30" i="2"/>
  <c r="D19" i="2"/>
  <c r="G19" i="2"/>
  <c r="D5" i="6"/>
  <c r="K19" i="2"/>
  <c r="H19" i="2"/>
  <c r="E19" i="2"/>
  <c r="B31" i="2"/>
  <c r="C19" i="2"/>
  <c r="N8" i="7"/>
  <c r="U4" i="2"/>
  <c r="H15" i="7"/>
  <c r="D39" i="2"/>
  <c r="B8" i="1"/>
  <c r="U8" i="2"/>
  <c r="J6" i="6"/>
  <c r="E45" i="2"/>
  <c r="L7" i="1"/>
  <c r="E43" i="2"/>
  <c r="J7" i="1"/>
  <c r="E42" i="2"/>
  <c r="H7" i="1"/>
  <c r="E41" i="2"/>
  <c r="E7" i="1"/>
  <c r="E39" i="2"/>
  <c r="E40" i="2"/>
  <c r="I2" i="2"/>
  <c r="H2" i="2"/>
  <c r="B9" i="1"/>
  <c r="C22" i="16"/>
  <c r="H22" i="16"/>
  <c r="G22" i="16"/>
  <c r="F22" i="16"/>
  <c r="D22" i="16"/>
  <c r="E22" i="16"/>
  <c r="J2" i="7"/>
  <c r="E38" i="2"/>
  <c r="F2" i="1"/>
  <c r="B10" i="6"/>
  <c r="B23" i="16"/>
  <c r="B10" i="1"/>
  <c r="B11" i="1"/>
  <c r="B11" i="6"/>
  <c r="B24" i="16"/>
  <c r="B12" i="1"/>
  <c r="B12" i="6"/>
  <c r="B25" i="16"/>
  <c r="C23" i="16"/>
  <c r="C24" i="16"/>
  <c r="B13" i="1"/>
  <c r="B13" i="6"/>
  <c r="B26" i="16"/>
  <c r="C26" i="16"/>
  <c r="C25" i="16"/>
  <c r="H26" i="16"/>
  <c r="F26" i="16"/>
  <c r="D26" i="16"/>
  <c r="E26" i="16"/>
  <c r="G26" i="16"/>
  <c r="G23" i="16"/>
  <c r="E23" i="16"/>
  <c r="D23" i="16"/>
  <c r="F23" i="16"/>
  <c r="H23" i="16"/>
  <c r="G24" i="16"/>
  <c r="H24" i="16"/>
  <c r="F24" i="16"/>
  <c r="D24" i="16"/>
  <c r="E24" i="16"/>
  <c r="B14" i="1"/>
  <c r="B14" i="6"/>
  <c r="B27" i="16"/>
  <c r="G25" i="16"/>
  <c r="H25" i="16"/>
  <c r="F25" i="16"/>
  <c r="D25" i="16"/>
  <c r="E25" i="16"/>
  <c r="B15" i="1"/>
  <c r="B15" i="6"/>
  <c r="B28" i="16"/>
  <c r="C28" i="16"/>
  <c r="C27" i="16"/>
  <c r="G28" i="16"/>
  <c r="H28" i="16"/>
  <c r="F28" i="16"/>
  <c r="D28" i="16"/>
  <c r="E28" i="16"/>
  <c r="B16" i="1"/>
  <c r="B16" i="6"/>
  <c r="B29" i="16"/>
  <c r="C29" i="16"/>
  <c r="E27" i="16"/>
  <c r="D27" i="16"/>
  <c r="F27" i="16"/>
  <c r="H27" i="16"/>
  <c r="G27" i="16"/>
  <c r="G29" i="16"/>
  <c r="H29" i="16"/>
  <c r="F29" i="16"/>
  <c r="D29" i="16"/>
  <c r="E29" i="16"/>
  <c r="B17" i="6"/>
  <c r="B30" i="16"/>
  <c r="B17" i="1"/>
  <c r="C30" i="16"/>
  <c r="H30" i="16"/>
  <c r="E30" i="16"/>
  <c r="G30" i="16"/>
  <c r="F30" i="16"/>
  <c r="D30" i="16"/>
  <c r="C31" i="16"/>
  <c r="B18" i="1"/>
  <c r="B18" i="6"/>
  <c r="B31" i="16"/>
  <c r="H31" i="16"/>
  <c r="E31" i="16"/>
  <c r="G31" i="16"/>
  <c r="D31" i="16"/>
  <c r="F31" i="16"/>
  <c r="C32" i="16"/>
  <c r="B19" i="6"/>
  <c r="B32" i="16"/>
  <c r="B19" i="1"/>
  <c r="G32" i="16"/>
  <c r="H32" i="16"/>
  <c r="F32" i="16"/>
  <c r="D32" i="16"/>
  <c r="E32" i="16"/>
  <c r="C33" i="16"/>
  <c r="B20" i="1"/>
  <c r="B20" i="6"/>
  <c r="B33" i="16"/>
  <c r="G33" i="16"/>
  <c r="H33" i="16"/>
  <c r="F33" i="16"/>
  <c r="D33" i="16"/>
  <c r="E33" i="16"/>
  <c r="B21" i="6"/>
  <c r="B34" i="16"/>
  <c r="B21" i="1"/>
  <c r="C34" i="16"/>
  <c r="H34" i="16"/>
  <c r="E34" i="16"/>
  <c r="G34" i="16"/>
  <c r="F34" i="16"/>
  <c r="D34" i="16"/>
  <c r="C35" i="16"/>
  <c r="B22" i="6"/>
  <c r="B35" i="16"/>
  <c r="B22" i="1"/>
  <c r="G35" i="16"/>
  <c r="H35" i="16"/>
  <c r="D35" i="16"/>
  <c r="F35" i="16"/>
  <c r="E35" i="16"/>
  <c r="B23" i="6"/>
  <c r="B36" i="16"/>
  <c r="B23" i="1"/>
  <c r="C36" i="16"/>
  <c r="G36" i="16"/>
  <c r="H36" i="16"/>
  <c r="F36" i="16"/>
  <c r="D36" i="16"/>
  <c r="E36" i="16"/>
  <c r="B24" i="6"/>
  <c r="B37" i="16"/>
  <c r="B24" i="1"/>
  <c r="B25" i="1"/>
  <c r="B25" i="6"/>
  <c r="B38" i="16"/>
  <c r="C37" i="16"/>
  <c r="B26" i="1"/>
  <c r="B26" i="6"/>
  <c r="B39" i="16"/>
  <c r="G37" i="16"/>
  <c r="H37" i="16"/>
  <c r="F37" i="16"/>
  <c r="D37" i="16"/>
  <c r="E37" i="16"/>
  <c r="C38" i="16"/>
  <c r="C40" i="16"/>
  <c r="B27" i="6"/>
  <c r="B40" i="16"/>
  <c r="B27" i="1"/>
  <c r="G40" i="16"/>
  <c r="H40" i="16"/>
  <c r="F40" i="16"/>
  <c r="D40" i="16"/>
  <c r="E40" i="16"/>
  <c r="C39" i="16"/>
  <c r="H38" i="16"/>
  <c r="G38" i="16"/>
  <c r="F38" i="16"/>
  <c r="D38" i="16"/>
  <c r="E38" i="16"/>
  <c r="B28" i="6"/>
  <c r="B41" i="16"/>
  <c r="B28" i="1"/>
  <c r="E39" i="16"/>
  <c r="H39" i="16"/>
  <c r="G39" i="16"/>
  <c r="D39" i="16"/>
  <c r="F39" i="16"/>
  <c r="B29" i="1"/>
  <c r="B29" i="6"/>
  <c r="B42" i="16"/>
  <c r="C41" i="16"/>
  <c r="B30" i="1"/>
  <c r="B30" i="6"/>
  <c r="B43" i="16"/>
  <c r="C42" i="16"/>
  <c r="G41" i="16"/>
  <c r="H41" i="16"/>
  <c r="F41" i="16"/>
  <c r="D41" i="16"/>
  <c r="E41" i="16"/>
  <c r="C44" i="16"/>
  <c r="B31" i="6"/>
  <c r="B44" i="16"/>
  <c r="B31" i="1"/>
  <c r="G44" i="16"/>
  <c r="H44" i="16"/>
  <c r="F44" i="16"/>
  <c r="D44" i="16"/>
  <c r="E44" i="16"/>
  <c r="H42" i="16"/>
  <c r="D42" i="16"/>
  <c r="E42" i="16"/>
  <c r="G42" i="16"/>
  <c r="F42" i="16"/>
  <c r="C43" i="16"/>
  <c r="C46" i="16"/>
  <c r="B32" i="1"/>
  <c r="B32" i="6"/>
  <c r="B45" i="16"/>
  <c r="H46" i="16"/>
  <c r="E46" i="16"/>
  <c r="G46" i="16"/>
  <c r="F46" i="16"/>
  <c r="D46" i="16"/>
  <c r="E43" i="16"/>
  <c r="G43" i="16"/>
  <c r="D43" i="16"/>
  <c r="F43" i="16"/>
  <c r="H43" i="16"/>
  <c r="B33" i="1"/>
  <c r="B33" i="6"/>
  <c r="B46" i="16"/>
  <c r="C45" i="16"/>
  <c r="B34" i="6"/>
  <c r="B47" i="16"/>
  <c r="B34" i="1"/>
  <c r="G45" i="16"/>
  <c r="H45" i="16"/>
  <c r="F45" i="16"/>
  <c r="D45" i="16"/>
  <c r="E45" i="16"/>
  <c r="AY20" i="11"/>
  <c r="BF9" i="11"/>
  <c r="M10" i="6"/>
  <c r="C52" i="16"/>
  <c r="BG9" i="11"/>
  <c r="O10" i="6"/>
  <c r="D52" i="16"/>
  <c r="AQ35" i="11"/>
  <c r="BF10" i="11"/>
  <c r="M11" i="6"/>
  <c r="C53" i="16"/>
  <c r="AQ37" i="11"/>
  <c r="AS37" i="11"/>
  <c r="BF11" i="11"/>
  <c r="M12" i="6"/>
  <c r="C54" i="16"/>
  <c r="BG10" i="11"/>
  <c r="O11" i="6"/>
  <c r="D53" i="16"/>
  <c r="BG11" i="11"/>
  <c r="O12" i="6"/>
  <c r="D54" i="16"/>
  <c r="BG13" i="11"/>
  <c r="O14" i="6"/>
  <c r="D56" i="16"/>
  <c r="AQ45" i="11"/>
  <c r="AS45" i="11"/>
  <c r="BF15" i="11"/>
  <c r="M16" i="6"/>
  <c r="C58" i="16"/>
  <c r="BG14" i="11"/>
  <c r="O15" i="6"/>
  <c r="D57" i="16"/>
  <c r="AQ47" i="11"/>
  <c r="AS47" i="11"/>
  <c r="BF16" i="11"/>
  <c r="M17" i="6"/>
  <c r="C59" i="16"/>
  <c r="AU45" i="11"/>
  <c r="BG15" i="11"/>
  <c r="O16" i="6"/>
  <c r="D58" i="16"/>
  <c r="BG16" i="11"/>
  <c r="O17" i="6"/>
  <c r="D59" i="16"/>
  <c r="AQ49" i="11"/>
  <c r="AS49" i="11"/>
  <c r="BF17" i="11"/>
  <c r="M18" i="6"/>
  <c r="C60" i="16"/>
  <c r="BG17" i="11"/>
  <c r="O18" i="6"/>
  <c r="D60" i="16"/>
  <c r="AM53" i="11"/>
  <c r="BA18" i="11"/>
  <c r="AZ18" i="11"/>
  <c r="BK18" i="11"/>
  <c r="AQ51" i="11"/>
  <c r="AS51" i="11"/>
  <c r="BF18" i="11"/>
  <c r="M19" i="6"/>
  <c r="C61" i="16"/>
  <c r="BG18" i="11"/>
  <c r="O19" i="6"/>
  <c r="D61" i="16"/>
  <c r="AM55" i="11"/>
  <c r="BA19" i="11"/>
  <c r="AZ19" i="11"/>
  <c r="BK19" i="11"/>
  <c r="AQ53" i="11"/>
  <c r="AS53" i="11"/>
  <c r="BF19" i="11"/>
  <c r="M20" i="6"/>
  <c r="C62" i="16"/>
  <c r="BG19" i="11"/>
  <c r="O20" i="6"/>
  <c r="D62" i="16"/>
  <c r="BK20" i="11"/>
  <c r="AQ55" i="11"/>
  <c r="AS55" i="11"/>
  <c r="BF20" i="11"/>
  <c r="M21" i="6"/>
  <c r="C63" i="16"/>
  <c r="N10" i="6"/>
  <c r="E52" i="16"/>
  <c r="N11" i="6"/>
  <c r="E53" i="16"/>
  <c r="N12" i="6"/>
  <c r="E54" i="16"/>
  <c r="N14" i="6"/>
  <c r="E56" i="16"/>
  <c r="N15" i="6"/>
  <c r="E57" i="16"/>
  <c r="N16" i="6"/>
  <c r="E58" i="16"/>
  <c r="N17" i="6"/>
  <c r="E59" i="16"/>
  <c r="N18" i="6"/>
  <c r="E60" i="16"/>
  <c r="AO53" i="11"/>
  <c r="BC18" i="11"/>
  <c r="BI18" i="11"/>
  <c r="N19" i="6"/>
  <c r="E61" i="16"/>
  <c r="AO55" i="11"/>
  <c r="BC19" i="11"/>
  <c r="BI19" i="11"/>
  <c r="N20" i="6"/>
  <c r="E62" i="16"/>
  <c r="BI20" i="11"/>
  <c r="N21" i="6"/>
  <c r="E63" i="16"/>
  <c r="BG20" i="11"/>
  <c r="O21" i="6"/>
  <c r="D63" i="16"/>
  <c r="P10" i="6"/>
  <c r="P11" i="6"/>
  <c r="P12" i="6"/>
  <c r="P14" i="6"/>
  <c r="P15" i="6"/>
  <c r="P16" i="6"/>
  <c r="P17" i="6"/>
  <c r="P18" i="6"/>
  <c r="AN53" i="11"/>
  <c r="BB18" i="11"/>
  <c r="BH18" i="11"/>
  <c r="P19" i="6"/>
  <c r="AN55" i="11"/>
  <c r="BB19" i="11"/>
  <c r="BH19" i="11"/>
  <c r="P20" i="6"/>
  <c r="BH20" i="11"/>
  <c r="P21" i="6"/>
  <c r="R10" i="6"/>
  <c r="R11" i="6"/>
  <c r="R12" i="6"/>
  <c r="R14" i="6"/>
  <c r="R15" i="6"/>
  <c r="R16" i="6"/>
  <c r="R17" i="6"/>
  <c r="R18" i="6"/>
  <c r="BD18" i="11"/>
  <c r="BJ18" i="11"/>
  <c r="R19" i="6"/>
  <c r="BD19" i="11"/>
  <c r="BJ19" i="11"/>
  <c r="R20" i="6"/>
  <c r="BJ20" i="11"/>
  <c r="R21" i="6"/>
  <c r="G6" i="6"/>
  <c r="E44" i="2"/>
  <c r="E46" i="2"/>
  <c r="M2" i="6"/>
  <c r="Q10" i="6"/>
  <c r="Q11" i="6"/>
  <c r="Q12" i="6"/>
  <c r="Q14" i="6"/>
  <c r="Q15" i="6"/>
  <c r="Q16" i="6"/>
  <c r="Q17" i="6"/>
  <c r="Q18" i="6"/>
  <c r="Q19" i="6"/>
  <c r="Q20" i="6"/>
  <c r="Q21" i="6"/>
  <c r="BE18" i="11"/>
  <c r="BE19" i="11"/>
  <c r="F64" i="16"/>
  <c r="S10" i="6"/>
  <c r="T10" i="6"/>
  <c r="U10" i="6"/>
  <c r="S11" i="6"/>
  <c r="T11" i="6"/>
  <c r="U11" i="6"/>
  <c r="S12" i="6"/>
  <c r="T12" i="6"/>
  <c r="U12" i="6"/>
  <c r="S13" i="6"/>
  <c r="S14" i="6"/>
  <c r="S15" i="6"/>
  <c r="S16" i="6"/>
  <c r="T16" i="6"/>
  <c r="U16" i="6"/>
  <c r="S17" i="6"/>
  <c r="T17" i="6"/>
  <c r="U17" i="6"/>
  <c r="S18" i="6"/>
  <c r="T18" i="6"/>
  <c r="U18" i="6"/>
  <c r="S19" i="6"/>
  <c r="T19" i="6"/>
  <c r="U19" i="6"/>
  <c r="S20" i="6"/>
  <c r="T20" i="6"/>
  <c r="U20" i="6"/>
  <c r="T21" i="6"/>
  <c r="U21" i="6"/>
  <c r="F61" i="16"/>
  <c r="F62" i="16"/>
  <c r="F63" i="16"/>
  <c r="G61" i="16"/>
  <c r="G62" i="16"/>
  <c r="G63" i="16"/>
  <c r="H61" i="16"/>
  <c r="H62" i="16"/>
  <c r="H63" i="16"/>
  <c r="F16" i="6"/>
  <c r="F17" i="6"/>
  <c r="F18" i="6"/>
  <c r="F19" i="6"/>
  <c r="F20" i="6"/>
  <c r="F21" i="6"/>
  <c r="F22" i="6"/>
  <c r="F23" i="6"/>
  <c r="F24" i="6"/>
  <c r="F25" i="6"/>
  <c r="F26" i="6"/>
  <c r="F27" i="6"/>
  <c r="F28" i="6"/>
  <c r="F29" i="6"/>
  <c r="F30" i="6"/>
  <c r="F31" i="6"/>
  <c r="F32" i="6"/>
  <c r="F33" i="6"/>
  <c r="AQ43" i="11"/>
  <c r="AS43" i="11"/>
  <c r="BF14" i="11"/>
  <c r="T15" i="6"/>
  <c r="U15" i="6"/>
  <c r="AQ41" i="11"/>
  <c r="AS41" i="11"/>
  <c r="BF13" i="11"/>
  <c r="T14" i="6"/>
  <c r="U14" i="6"/>
  <c r="AQ39" i="11"/>
  <c r="AS39" i="11"/>
  <c r="BF12" i="11"/>
  <c r="T13" i="6"/>
  <c r="U13" i="6"/>
  <c r="S6" i="11"/>
  <c r="AN6" i="11"/>
  <c r="AN33" i="11"/>
  <c r="BB8" i="11"/>
  <c r="AW39" i="11"/>
  <c r="BI12" i="11"/>
  <c r="AV39" i="11"/>
  <c r="BH12" i="11"/>
  <c r="BJ12" i="11"/>
  <c r="G64" i="16"/>
  <c r="AU39" i="11"/>
  <c r="BG12" i="11"/>
  <c r="R13" i="6"/>
  <c r="O13" i="6"/>
  <c r="Q13" i="6"/>
  <c r="P9" i="6"/>
  <c r="P13" i="6"/>
  <c r="P6" i="6"/>
  <c r="F14" i="16"/>
  <c r="N13" i="6"/>
  <c r="E55" i="16"/>
  <c r="AK55" i="11"/>
  <c r="AI55" i="11"/>
  <c r="AK53" i="11"/>
  <c r="AI53" i="11"/>
  <c r="D55" i="16"/>
  <c r="M15" i="6"/>
  <c r="C57" i="16"/>
  <c r="M14" i="6"/>
  <c r="C56" i="16"/>
  <c r="M13" i="6"/>
  <c r="C55" i="16"/>
  <c r="L9" i="6"/>
  <c r="L10" i="6"/>
  <c r="L11" i="6"/>
  <c r="L12" i="6"/>
  <c r="L13" i="6"/>
  <c r="L14" i="6"/>
  <c r="L15" i="6"/>
  <c r="L16" i="6"/>
  <c r="L17" i="6"/>
  <c r="L18" i="6"/>
  <c r="L19" i="6"/>
  <c r="L20" i="6"/>
  <c r="L21" i="6"/>
  <c r="B63" i="16"/>
  <c r="B62" i="16"/>
  <c r="B61" i="16"/>
  <c r="B60" i="16"/>
  <c r="B59" i="16"/>
  <c r="B58" i="16"/>
  <c r="B57" i="16"/>
  <c r="B56" i="16"/>
  <c r="B55" i="16"/>
  <c r="B54" i="16"/>
  <c r="B53" i="16"/>
  <c r="B52" i="16"/>
  <c r="C5" i="5"/>
  <c r="B50" i="16"/>
  <c r="C21" i="16"/>
  <c r="E21" i="16"/>
  <c r="F21" i="16"/>
  <c r="D21" i="16"/>
  <c r="H21" i="16"/>
  <c r="G21" i="16"/>
  <c r="B51" i="16"/>
  <c r="B9" i="6"/>
  <c r="B22" i="16"/>
  <c r="B8" i="6"/>
  <c r="B21" i="16"/>
  <c r="D8" i="6"/>
  <c r="D6" i="6"/>
  <c r="E36" i="2"/>
  <c r="F7" i="16"/>
  <c r="C5" i="11"/>
  <c r="AS35" i="11"/>
  <c r="B6" i="11"/>
  <c r="C8" i="6"/>
  <c r="C6" i="6"/>
  <c r="F8" i="6"/>
  <c r="G51" i="16"/>
  <c r="G55" i="16"/>
  <c r="H55" i="16"/>
  <c r="AK49" i="11"/>
  <c r="AI49" i="11"/>
  <c r="AK51" i="11"/>
  <c r="AI51" i="11"/>
  <c r="CK6" i="5"/>
  <c r="Q6" i="11"/>
  <c r="R6" i="11"/>
  <c r="AM6" i="11"/>
  <c r="AM33" i="11"/>
  <c r="BA8" i="11"/>
  <c r="AZ8" i="11"/>
  <c r="S9" i="6"/>
  <c r="U9" i="6"/>
  <c r="T6" i="11"/>
  <c r="AO6" i="11"/>
  <c r="AO33" i="11"/>
  <c r="BC8" i="11"/>
  <c r="BD8" i="11"/>
  <c r="I68" i="16"/>
  <c r="H64" i="16"/>
  <c r="O9" i="6"/>
  <c r="D51" i="16"/>
  <c r="D64" i="16"/>
  <c r="R9" i="6"/>
  <c r="R6" i="6"/>
  <c r="N9" i="6"/>
  <c r="N6" i="6"/>
  <c r="E51" i="16"/>
  <c r="E64" i="16"/>
  <c r="Q9" i="6"/>
  <c r="M9" i="6"/>
  <c r="C51" i="16"/>
  <c r="H51" i="16"/>
</calcChain>
</file>

<file path=xl/comments1.xml><?xml version="1.0" encoding="utf-8"?>
<comments xmlns="http://schemas.openxmlformats.org/spreadsheetml/2006/main">
  <authors>
    <author>Balzer</author>
  </authors>
  <commentList>
    <comment ref="J28" authorId="0">
      <text>
        <r>
          <rPr>
            <b/>
            <sz val="8"/>
            <color indexed="8"/>
            <rFont val="Tahoma"/>
            <family val="2"/>
          </rPr>
          <t>Portées identiques : Temps identiques pour toutes les portées
Portées différentes : Certaines portées ont des temps particuliers</t>
        </r>
      </text>
    </comment>
    <comment ref="J31" authorId="0">
      <text>
        <r>
          <rPr>
            <b/>
            <sz val="8"/>
            <color indexed="8"/>
            <rFont val="Tahoma"/>
            <family val="2"/>
          </rPr>
          <t>Portées identiques : Temps identiques pour toutes les portées
Portées différentes : Certaines portées ont des temps particuliers</t>
        </r>
      </text>
    </comment>
  </commentList>
</comments>
</file>

<file path=xl/sharedStrings.xml><?xml version="1.0" encoding="utf-8"?>
<sst xmlns="http://schemas.openxmlformats.org/spreadsheetml/2006/main" count="768" uniqueCount="586">
  <si>
    <r>
      <t>Los valores de T2 y T3 pueden ser iguales para todos los vanos o tener un valor diferente para cada uno de ellos.  
Si los valores son iguales, escoja de la lista desplegable: "</t>
    </r>
    <r>
      <rPr>
        <i/>
        <sz val="7"/>
        <rFont val="Arial"/>
        <family val="2"/>
        <charset val="204"/>
      </rPr>
      <t>vanos idénticos"</t>
    </r>
    <r>
      <rPr>
        <sz val="7"/>
        <rFont val="Arial"/>
        <family val="2"/>
        <charset val="204"/>
      </rPr>
      <t xml:space="preserve"> e introduzca el valor apropiado debajo de la lista desplegable.  
Si los valores son diferentes, introduzcalos en las celdas inferiores, uno para cada vano.</t>
    </r>
  </si>
  <si>
    <t>The sheet 3-AE, assignment of equipment, calculates the distribution of equipment per sections.
The input values ​​can be the one displayed in the program or those that seem most appropriate.</t>
  </si>
  <si>
    <t>Enter your lift data</t>
  </si>
  <si>
    <t>Values comming from operators experience and control agencies</t>
  </si>
  <si>
    <t>Be aware: your case will never be the same as ours</t>
  </si>
  <si>
    <t>Data entry in grey cells (they will turn to yellow). When yellow, modification is allowed.</t>
  </si>
  <si>
    <t xml:space="preserve">The time changes depending on:
- Displace mode, eg walking, grooming machine ...
- The trail difficulty to the safe place, eg avalanch area or cliff zone or steep area
- Of the day time of the evacuation, eg night return
</t>
  </si>
  <si>
    <t>Type d'appareil</t>
  </si>
  <si>
    <t>Nombre de personnes</t>
  </si>
  <si>
    <t>Nombre de siège maximum par équipe</t>
  </si>
  <si>
    <t>autre</t>
  </si>
  <si>
    <t>Durée maximale d'évacuation</t>
  </si>
  <si>
    <t>Remplissage du brin montant</t>
  </si>
  <si>
    <t>Remplissage du brin descendant</t>
  </si>
  <si>
    <t>Notre expérience</t>
  </si>
  <si>
    <t>G1</t>
  </si>
  <si>
    <t>G2</t>
  </si>
  <si>
    <t>Description de la ligne</t>
  </si>
  <si>
    <t>Durée maxi d'évacuation</t>
  </si>
  <si>
    <t>Total</t>
  </si>
  <si>
    <t>Type de saisie des données</t>
  </si>
  <si>
    <t>180 mn en Europe</t>
  </si>
  <si>
    <t>Saisissez vos données pour votre remontée</t>
  </si>
  <si>
    <t>Durée maximale d''évacuation à partir de la décision d'évacuer</t>
  </si>
  <si>
    <t>Nom de la gare du bas</t>
  </si>
  <si>
    <t>Nom de la gare du haut</t>
  </si>
  <si>
    <t>Nom d'une portée</t>
  </si>
  <si>
    <t>P</t>
  </si>
  <si>
    <t>Attention à votre réglementation</t>
  </si>
  <si>
    <t>Calcul nom pylône</t>
  </si>
  <si>
    <t>Brin descendant</t>
  </si>
  <si>
    <t>Calcul</t>
  </si>
  <si>
    <t>Nom de la dernière équipe</t>
  </si>
  <si>
    <t>Votre affectation d'équipe</t>
  </si>
  <si>
    <t>La proposition standard</t>
  </si>
  <si>
    <t>Numéro de l'équipe</t>
  </si>
  <si>
    <t>La ligne</t>
  </si>
  <si>
    <t>Maxi des temps d'accès au pylône</t>
  </si>
  <si>
    <t>Saisie manuelle</t>
  </si>
  <si>
    <t>Saisie automatique</t>
  </si>
  <si>
    <t>Données de la ligne</t>
  </si>
  <si>
    <t>Temps saisis</t>
  </si>
  <si>
    <t>Montant</t>
  </si>
  <si>
    <t>Affectation par utilisateur</t>
  </si>
  <si>
    <t>Saisie automatique ou manuelle ?</t>
  </si>
  <si>
    <t>Nombre maximal de véhicule sur la ligne</t>
  </si>
  <si>
    <t>Marge / Durée limite de l'évacuation</t>
  </si>
  <si>
    <t>Données générales</t>
  </si>
  <si>
    <t>Listes déroulantes à choix multiples : résultat du choix</t>
  </si>
  <si>
    <t>Nombre de pylônes</t>
  </si>
  <si>
    <t>Nombre maximal de véhicules évacués par équipe</t>
  </si>
  <si>
    <t>Commentaires</t>
  </si>
  <si>
    <t>Abréviation</t>
  </si>
  <si>
    <t>Temps moyen d'évacuation</t>
  </si>
  <si>
    <t>Temps pour passer le véhicule et aller au véhicule suivant</t>
  </si>
  <si>
    <t>votre choix</t>
  </si>
  <si>
    <t>Temps d'accès du pied du pylône au haut du pylône</t>
  </si>
  <si>
    <t>Re</t>
  </si>
  <si>
    <t>Pa</t>
  </si>
  <si>
    <t>Vérification saisie</t>
  </si>
  <si>
    <t>Equipe</t>
  </si>
  <si>
    <t>Portées identiques</t>
  </si>
  <si>
    <t>Portées différentes</t>
  </si>
  <si>
    <t>E =</t>
  </si>
  <si>
    <t>Vmax =</t>
  </si>
  <si>
    <t>Pmax =</t>
  </si>
  <si>
    <t>Type =</t>
  </si>
  <si>
    <t>Tmax =</t>
  </si>
  <si>
    <t>Départ</t>
  </si>
  <si>
    <t>Arrivée</t>
  </si>
  <si>
    <t>MNDébut</t>
  </si>
  <si>
    <t>MPDébut</t>
  </si>
  <si>
    <t>MPFin</t>
  </si>
  <si>
    <t>MNFin</t>
  </si>
  <si>
    <t>Nomdébut</t>
  </si>
  <si>
    <t>Nomfin</t>
  </si>
  <si>
    <t>DNDébut</t>
  </si>
  <si>
    <t>DPdébut</t>
  </si>
  <si>
    <t>DNFin</t>
  </si>
  <si>
    <t>DPFin</t>
  </si>
  <si>
    <t>MEquipRef</t>
  </si>
  <si>
    <t>MT2ref</t>
  </si>
  <si>
    <t>FICHE DE CALCUL A PARTIR DES AFFECTATIONS D'EQUIPE SOUHAITEE PAR L'UTILISATEUR</t>
  </si>
  <si>
    <t>FICHE DE CALCUL D'UNE PROPOSITION D 'AFFECTATION D'EQUIPE EN ACCORD AVEC LA RECOMMANDATION</t>
  </si>
  <si>
    <t>PARAMETRES DES FEUILLES DE CALCUL</t>
  </si>
  <si>
    <t>Langue</t>
  </si>
  <si>
    <t>Français</t>
  </si>
  <si>
    <t>Italiano</t>
  </si>
  <si>
    <t>English</t>
  </si>
  <si>
    <t>Nombre de personne par véhicule (maximum)</t>
  </si>
  <si>
    <t>Espacement entre les véhicules (moyen)</t>
  </si>
  <si>
    <t>Définitions</t>
  </si>
  <si>
    <t>Cette feuille de calcul est réservée aux utilisateurs familiers d'EXCEL</t>
  </si>
  <si>
    <t>Durée d'évacuation de la portée</t>
  </si>
  <si>
    <t>Numéro du pylone de départ de la portée</t>
  </si>
  <si>
    <t>Numéro  de la portée</t>
  </si>
  <si>
    <t>Gare aval</t>
  </si>
  <si>
    <t>Gare amont</t>
  </si>
  <si>
    <t>Durata massima dell'evacuazione</t>
  </si>
  <si>
    <t>Tipo di impianto</t>
  </si>
  <si>
    <t>Numero di sostegni</t>
  </si>
  <si>
    <t>Riempimento del ramo salita</t>
  </si>
  <si>
    <t>Riempimento del ramo discesa</t>
  </si>
  <si>
    <t>Definizioni</t>
  </si>
  <si>
    <t>Descrizione della linea</t>
  </si>
  <si>
    <t>Numero della campata</t>
  </si>
  <si>
    <t>Stazione  a valle</t>
  </si>
  <si>
    <t>Stazione a monte</t>
  </si>
  <si>
    <t>La linea</t>
  </si>
  <si>
    <t>Ramo salita</t>
  </si>
  <si>
    <t>La proposta standard</t>
  </si>
  <si>
    <t>Ramo discesa</t>
  </si>
  <si>
    <t>Numero della squadra</t>
  </si>
  <si>
    <t>Margine / Durata limite dell'evacuazione</t>
  </si>
  <si>
    <t>Numero massimo di persone evacuate</t>
  </si>
  <si>
    <t>Español</t>
  </si>
  <si>
    <t>Duración máxima de la evacuación</t>
  </si>
  <si>
    <t>Tipo de aparato</t>
  </si>
  <si>
    <t>Número de personas por vehículo (máximo)</t>
  </si>
  <si>
    <t>Número de torres</t>
  </si>
  <si>
    <t>Llenado del ramal ascendente</t>
  </si>
  <si>
    <t>Llenado del ramal descendente</t>
  </si>
  <si>
    <t>Número máximo de vehículos evacuados por equipo</t>
  </si>
  <si>
    <t>Definiciones</t>
  </si>
  <si>
    <t>Esta hoja de cálculo está reservada a los usuarios familiarizados con EXCEL</t>
  </si>
  <si>
    <t>Descripción de la línea</t>
  </si>
  <si>
    <t>Tipo de entrada de datos</t>
  </si>
  <si>
    <t>Entrada automática</t>
  </si>
  <si>
    <t>Entrada manual</t>
  </si>
  <si>
    <t>La línea</t>
  </si>
  <si>
    <t>Ramal ascendente</t>
  </si>
  <si>
    <t>La proposición estándar</t>
  </si>
  <si>
    <t>Ramal descendente</t>
  </si>
  <si>
    <t>Número del equipo</t>
  </si>
  <si>
    <t>Duración de la evacuación del vano</t>
  </si>
  <si>
    <t>Margen / Duración límite de la evacuación</t>
  </si>
  <si>
    <t>Número máximo de personas evacuadas</t>
  </si>
  <si>
    <t>Deutsch</t>
  </si>
  <si>
    <t>Erfassen Sie die Daten für Ihre Anlage</t>
  </si>
  <si>
    <t>Maximale Bergezeit</t>
  </si>
  <si>
    <t>Anlagentyp</t>
  </si>
  <si>
    <t>Max. Anzahl Personen pro Fahrzeug</t>
  </si>
  <si>
    <t>Anzahl Stützen</t>
  </si>
  <si>
    <t>Fahrzeugabstand (Durchschnitt)</t>
  </si>
  <si>
    <t>Füllgrad Bergseil</t>
  </si>
  <si>
    <t>Füllgrad Talseil</t>
  </si>
  <si>
    <t>Max. Anzahl evakuierte Fahrzeuge pro Bergemannschaft</t>
  </si>
  <si>
    <t>Begriffsbestimmungen</t>
  </si>
  <si>
    <t>Beschreibung der Strecke</t>
  </si>
  <si>
    <t>Art der Datenerfassung</t>
  </si>
  <si>
    <t xml:space="preserve">Automatische Erfassung </t>
  </si>
  <si>
    <t>Strecke</t>
  </si>
  <si>
    <t>Bergseil</t>
  </si>
  <si>
    <t>Standardvorgabe</t>
  </si>
  <si>
    <t>Talseil</t>
  </si>
  <si>
    <t>Nummer der Bergemannschaft</t>
  </si>
  <si>
    <t>Bergezeit des Spannfeldes</t>
  </si>
  <si>
    <t xml:space="preserve">Max. Anzahl der geborgenen Personen </t>
  </si>
  <si>
    <t>Lift type</t>
  </si>
  <si>
    <t>Number of towers</t>
  </si>
  <si>
    <t>Distance between vehicles (on average)</t>
  </si>
  <si>
    <t>Filling of the up-coming strand</t>
  </si>
  <si>
    <t>Filling of the down-going strand</t>
  </si>
  <si>
    <t>Definitions</t>
  </si>
  <si>
    <t xml:space="preserve">This calculation sheet is set for EXCEL literate users </t>
  </si>
  <si>
    <t>Line description</t>
  </si>
  <si>
    <t>Number of the tower at the start of the span</t>
  </si>
  <si>
    <t>Number of the span</t>
  </si>
  <si>
    <t>The line</t>
  </si>
  <si>
    <t>Uphill strand</t>
  </si>
  <si>
    <t>The standard proposal</t>
  </si>
  <si>
    <t>Your team allocation</t>
  </si>
  <si>
    <t>Downhill strand</t>
  </si>
  <si>
    <t>Team number</t>
  </si>
  <si>
    <t xml:space="preserve">Duration of the span evacuation  </t>
  </si>
  <si>
    <t>Pylone de départ</t>
  </si>
  <si>
    <t>Tower at the start</t>
  </si>
  <si>
    <t>Similars spans</t>
  </si>
  <si>
    <t>Differents spans</t>
  </si>
  <si>
    <t xml:space="preserve"> </t>
  </si>
  <si>
    <t>Nom de la station</t>
  </si>
  <si>
    <t>Nom de la remontée</t>
  </si>
  <si>
    <t>Choisissez le cas le plus défavorable de votre exploitation</t>
  </si>
  <si>
    <t>vanos</t>
  </si>
  <si>
    <t>bloqué en position saisie différente donc à 2</t>
  </si>
  <si>
    <t>VALEUR A CONSERVER CAR NOM DE CELLULE UTILISE</t>
  </si>
  <si>
    <t>portées</t>
  </si>
  <si>
    <t>spans</t>
  </si>
  <si>
    <t>Soyez vigilants : votre cas ne sera jamais exactement les nôtres</t>
  </si>
  <si>
    <t>Team</t>
  </si>
  <si>
    <t>Equipo</t>
  </si>
  <si>
    <t>Squadra</t>
  </si>
  <si>
    <t>Date de saisie du cas</t>
  </si>
  <si>
    <t>En Europe 180 mn avec en plus 30 mn pour prendre la décision</t>
  </si>
  <si>
    <t>Quelques ordres de grandeur issus de notre expérience d'exploitants et d'organismes de contrôles</t>
  </si>
  <si>
    <t>Nombre maxi de personnes à évacuer</t>
  </si>
  <si>
    <t>Nombre de la estación</t>
  </si>
  <si>
    <t>Nombre del remonte</t>
  </si>
  <si>
    <t>Introduzca los datos de su remonte</t>
  </si>
  <si>
    <t>Distancia entre vehículos (media)</t>
  </si>
  <si>
    <t>Número de la torre de inicio del vano</t>
  </si>
  <si>
    <t>Número del vano</t>
  </si>
  <si>
    <t>Estación inferior</t>
  </si>
  <si>
    <t>Estación superior</t>
  </si>
  <si>
    <t>Duración de la evacuación del último pasajero</t>
  </si>
  <si>
    <t>Escoja el caso más desfavorable de su explotación</t>
  </si>
  <si>
    <t>Su asignación de equipo</t>
  </si>
  <si>
    <t>Torre inicial</t>
  </si>
  <si>
    <t>Vanos idénticos</t>
  </si>
  <si>
    <t>Vanos diferentes</t>
  </si>
  <si>
    <t>Tener en cuenta: su caso no será nunca igual a los nuestros</t>
  </si>
  <si>
    <t>además de las dos estaciones (máximo 25 torres)</t>
  </si>
  <si>
    <t>Si los datos son diferentes para cada vano, éntrelos en las casillas inferiores grises</t>
  </si>
  <si>
    <t>Saisies OK</t>
  </si>
  <si>
    <t>Entradas OK</t>
  </si>
  <si>
    <t>places</t>
  </si>
  <si>
    <t>plazas</t>
  </si>
  <si>
    <t>otro</t>
  </si>
  <si>
    <t xml:space="preserve"> pers.</t>
  </si>
  <si>
    <t>su elección</t>
  </si>
  <si>
    <t xml:space="preserve"> veh.</t>
  </si>
  <si>
    <t xml:space="preserve"> de</t>
  </si>
  <si>
    <t xml:space="preserve"> à</t>
  </si>
  <si>
    <t xml:space="preserve"> a</t>
  </si>
  <si>
    <t xml:space="preserve"> from</t>
  </si>
  <si>
    <t xml:space="preserve"> to</t>
  </si>
  <si>
    <t xml:space="preserve"> min.</t>
  </si>
  <si>
    <t>Saisir dans les zones en jaune</t>
  </si>
  <si>
    <t xml:space="preserve"> m</t>
  </si>
  <si>
    <t>en plus des deux gares (25 pylônes au maximum)</t>
  </si>
  <si>
    <t>over the two stations (25 towers maximum)</t>
  </si>
  <si>
    <t xml:space="preserve">Si les données sont différentes pour chaque portée saisissez les dans les zones grisées de dessous
</t>
  </si>
  <si>
    <t>Resort name</t>
  </si>
  <si>
    <t>Lift name</t>
  </si>
  <si>
    <t>Choose the worst case of your operation</t>
  </si>
  <si>
    <t>other</t>
  </si>
  <si>
    <t>your choice</t>
  </si>
  <si>
    <t>Top station</t>
  </si>
  <si>
    <t>Nome della stazione</t>
  </si>
  <si>
    <t>%</t>
  </si>
  <si>
    <t>Saisie incomplète, excessive ou erronée</t>
  </si>
  <si>
    <t>Entrada incompleta, excesiva o errónea</t>
  </si>
  <si>
    <t>Saisie erronée</t>
  </si>
  <si>
    <t>Entrada errónea</t>
  </si>
  <si>
    <t>Fecha de entrada del caso</t>
  </si>
  <si>
    <t>En Europa 180 min además de 30 min más para tomar la decisión</t>
  </si>
  <si>
    <t>TSF</t>
  </si>
  <si>
    <t>TSD</t>
  </si>
  <si>
    <t>TC</t>
  </si>
  <si>
    <t>CLF</t>
  </si>
  <si>
    <t>CLD</t>
  </si>
  <si>
    <t>MGD</t>
  </si>
  <si>
    <t>Saisie incomplète</t>
  </si>
  <si>
    <t>Entrada incompleta</t>
  </si>
  <si>
    <t>Manquen données à la feuille 1-DG</t>
  </si>
  <si>
    <t>Faltan datos en la hoja 1-DG</t>
  </si>
  <si>
    <t xml:space="preserve">Si vous n'avez pas saisi toutes les données sur la feuille 1-DG, un message d'erreur apparaît sur la feuille 2-DL.  </t>
  </si>
  <si>
    <t>Si no se han introducido todos los datos en la hoja 1-DG, aparecerá un mensaje de error en la hoja 2-DL.</t>
  </si>
  <si>
    <t>Saisir dans les zones grisées (elles deviennent jaunes). Si elles sont déjà jaunes, vous pouvez les modifier</t>
  </si>
  <si>
    <t>Entrar llos datos en las casillas grises (se vuelven amarillas). Si ya son amarillas, se pueden modificar</t>
  </si>
  <si>
    <t>La feuille 3-AE, affichage des équipes, calcule la distribution des équipes par tronçons.  
Les valeurs à saisir peuvent être celles qui apparaissent au programme ou d'autres qui nos semblent plus appropriées.</t>
  </si>
  <si>
    <t>La hoja 3-AE, asignación de equipos, calcula la distribución de los equipos por tramos. 
Los valores a introducir pueden ser los que aparecen en el programa o bien los que nos parezcan más adecuados</t>
  </si>
  <si>
    <t xml:space="preserve">Si vous n'avez pas saisi toutes les données sur la feuille 1-DG ou 2-DL, un message d'erreur apparaît sur la feuille 3-AE.  </t>
  </si>
  <si>
    <t>Si no se han introducido todos los datos en la hoja 1-DG o 2-DL, aparecerá un mensaje de error en la hoja 3-AE.</t>
  </si>
  <si>
    <t>Data della verifica</t>
  </si>
  <si>
    <t>Nome dell'impianto</t>
  </si>
  <si>
    <t>Introduci i dati del tuo impianto</t>
  </si>
  <si>
    <t>Numero (massimo) di persone per veicolo</t>
  </si>
  <si>
    <t>oltre le due stazioni (25 sostegni al massimo)</t>
  </si>
  <si>
    <t>Distanza (media) tra i veicoli</t>
  </si>
  <si>
    <t>Numero massimo di veicoli evacuati da una squadra</t>
  </si>
  <si>
    <t>L'utilizzo di questo programma di calcolo è consigliato agli utenti pratici di EXCEL</t>
  </si>
  <si>
    <t xml:space="preserve">Numero del primo sostegno della campata </t>
  </si>
  <si>
    <t>Tipo di introduzione dei dati</t>
  </si>
  <si>
    <t>Introduzione automatica</t>
  </si>
  <si>
    <t>Introduzione manuale</t>
  </si>
  <si>
    <t>La tua assegnazione delle squadre</t>
  </si>
  <si>
    <t>Durata di evacuazione della campata</t>
  </si>
  <si>
    <t>Primo sostegno</t>
  </si>
  <si>
    <t>Campate identiche</t>
  </si>
  <si>
    <t xml:space="preserve">Campate differenti </t>
  </si>
  <si>
    <t xml:space="preserve">In Europa 180 min più altri 30 min per prendere la decisione </t>
  </si>
  <si>
    <t xml:space="preserve">Scegli la situazione di esercizio più sfavorevole </t>
  </si>
  <si>
    <t>Durata di evacuazione dell'ultimo passeggero</t>
  </si>
  <si>
    <t>posti</t>
  </si>
  <si>
    <t xml:space="preserve"> veic.</t>
  </si>
  <si>
    <t>Dati mancanti nel foglio1-DG</t>
  </si>
  <si>
    <t>Introduzione OK</t>
  </si>
  <si>
    <t>Introduzione incompleta</t>
  </si>
  <si>
    <t>Introduzione errata</t>
  </si>
  <si>
    <t>altro</t>
  </si>
  <si>
    <t>la tua scelta</t>
  </si>
  <si>
    <t>da</t>
  </si>
  <si>
    <t>a</t>
  </si>
  <si>
    <t>Qualche dato sulla base dall'esperienza degli esercenti e delle autorità di controllo</t>
  </si>
  <si>
    <t>Digitare nelle caselle grigie (diventano gialle). Se sono già gialle si possono modificare</t>
  </si>
  <si>
    <t>campate</t>
  </si>
  <si>
    <t xml:space="preserve">Se i dati sono diversi per ogni campata digitateli nelle sottostanti caselle grigie </t>
  </si>
  <si>
    <t>Digitate nelle caselle gialle</t>
  </si>
  <si>
    <t>Questo tempo varia in funzione: 
- del modo di spostamento (ad es.: a piedi, col mezzo battipista, ...); 
- della difficoltà del percorso verso il luogo sicuro (ad es.: canale esposto a valamghe o salto di roccia o pendio molto ripido); 
- dell'ora della conclusione dell'evacuazione (ad es.: ritorno di notte)</t>
  </si>
  <si>
    <t>Se non hai imputato tutti i dati nel foglio 1-DG un messaggio di errore appare nel foglio 2-DL.</t>
  </si>
  <si>
    <t xml:space="preserve">Un messaggio di errore appare nel foglio 3-AE se non hai introdotto tutti i dati nel foglio 1-DG o 2-DL </t>
  </si>
  <si>
    <t>Ac</t>
  </si>
  <si>
    <t>DT2ref</t>
  </si>
  <si>
    <t>MT2MaxRef</t>
  </si>
  <si>
    <t>DT2Maxref</t>
  </si>
  <si>
    <t>DEquipRef</t>
  </si>
  <si>
    <t>ML</t>
  </si>
  <si>
    <t>MV</t>
  </si>
  <si>
    <t>DL</t>
  </si>
  <si>
    <t>DV</t>
  </si>
  <si>
    <t>Mligne</t>
  </si>
  <si>
    <t>Mvehicle</t>
  </si>
  <si>
    <t>Dligne</t>
  </si>
  <si>
    <t>Dvehicle</t>
  </si>
  <si>
    <t>MT</t>
  </si>
  <si>
    <t>TM</t>
  </si>
  <si>
    <t>TD</t>
  </si>
  <si>
    <t>DT</t>
  </si>
  <si>
    <t>TMC</t>
  </si>
  <si>
    <t>TDC</t>
  </si>
  <si>
    <t>Descendent</t>
  </si>
  <si>
    <t>Longueur des tronçons</t>
  </si>
  <si>
    <t>Lunghezza dei tratti</t>
  </si>
  <si>
    <t>Longitud de los tramos</t>
  </si>
  <si>
    <t>Numero di veicoli per campata</t>
  </si>
  <si>
    <t>Número de vehículos por vano</t>
  </si>
  <si>
    <t>Anzahl Fahrzeuge pro Spannfeld</t>
  </si>
  <si>
    <t>Tramo</t>
  </si>
  <si>
    <t>Número de vanos evacuados</t>
  </si>
  <si>
    <t>Tiempo medio de evacuación por persona</t>
  </si>
  <si>
    <t xml:space="preserve"> Temps pour arriver au véhicule suivant (ou au premier)</t>
  </si>
  <si>
    <t>Temps pour passer un pylône situé entre deux véhicules d’un même tronçon à évacuer</t>
  </si>
  <si>
    <t>Tempo per oltrepassare un sostegno situato tra due veicoli di un medesimo tratto da evacuare</t>
  </si>
  <si>
    <t>Tiempo en atravesar una torre situada entre dos vehículos del mismo tramo a evacuar</t>
  </si>
  <si>
    <t>Temps maximal pour ramener le dernier passager en un lieu sûr</t>
  </si>
  <si>
    <t>Tempo massimo per ricondurre l'ultimo passeggero in un luogo sicuro</t>
  </si>
  <si>
    <t>Tiempo máximo para llevar el último pasajero a un lugar seguro</t>
  </si>
  <si>
    <t>Résultats</t>
  </si>
  <si>
    <t>Numero di campate evacuati</t>
  </si>
  <si>
    <t>Number of evacuated spans</t>
  </si>
  <si>
    <t>Tronçon</t>
  </si>
  <si>
    <t>Tiempo para llegar al vehículo siguiente (o al primero)</t>
  </si>
  <si>
    <t>Maximum number of evacuated persons</t>
  </si>
  <si>
    <t>Lower station</t>
  </si>
  <si>
    <t>Temps d'évacuation de la portée</t>
  </si>
  <si>
    <t>Tempo di evacuazione della campata</t>
  </si>
  <si>
    <t>Tiempo de evacuación del vano</t>
  </si>
  <si>
    <t>Evacuation time of the span</t>
  </si>
  <si>
    <t>ATTENTION :</t>
  </si>
  <si>
    <t>ATTENZIONE:</t>
  </si>
  <si>
    <t>ATENCION:</t>
  </si>
  <si>
    <t>ATTENTION:</t>
  </si>
  <si>
    <t>ACHTUNG:</t>
  </si>
  <si>
    <t>Totale</t>
  </si>
  <si>
    <t xml:space="preserve"> mn.</t>
  </si>
  <si>
    <t xml:space="preserve"> prs.</t>
  </si>
  <si>
    <t xml:space="preserve"> véhi.</t>
  </si>
  <si>
    <t>Número máximo de vehículos a evacuar</t>
  </si>
  <si>
    <t>Datos generales</t>
  </si>
  <si>
    <t>Number of vehicles by span</t>
  </si>
  <si>
    <t>Dati generali</t>
  </si>
  <si>
    <t>Fate attenzione:il vostro caso non sarà mai esattamente la nostra</t>
  </si>
  <si>
    <t>Temps moyen d'évacuation par personne</t>
  </si>
  <si>
    <t>Tempo medio di evacuazione per persona</t>
  </si>
  <si>
    <t>Questo tempo varia in funzione:
- del materiale utilizzato per l'evacuazione (ad es.: per una evacuazione verticale: RG10, chouca, D09, …);
- dell'altezza del veicolo dal suolo (ad es.: la discesa di un passeggero a 80 m dal suolo si gestisce in modo differente  che a 15 m);
- del numero di persone presenti su ciascun veicolo.
Non dimenticare di considerare l'attrezzatura dei passeggeri (sci, MTB, ...).  
I tempi da considerare sono quelli avvalorati dalle prove effettuate sul campo e dall'esperienza acquisita attraverso avvenute evacuazioni</t>
  </si>
  <si>
    <t>Ce temps varie :
- en fonction du matériel utilisé pour évacuer, exemple pour une évacuation verticale  : RG10, chouca, D09…
- en fonction du type de véhicule, exemple de type de véhicule : siège ou cabine
- en fonction de la hauteur sous véhicule, exemple : à 80 m de hauteur la descente d'un passager se gère différemment qu'à 15 m
- et du nombre de personnes présentes sur chaque véhicule
Ne pas oublier de prendre en compte l'équipement des passagers (ski, VTT...)  
Les temps à prendre sont ceux validés par les entraînements effectués grandeur nature et par les retours d'expérience sur des évacuations réelles</t>
  </si>
  <si>
    <t>Ce temps varie :
- en fonction du matériel utilisé pour évacuer, exemple pour une évacuation verticale  : RG10, chouca, D09… 
- en fonction du type de véhicule, exemple de type de véhicule : siège ou cabine 
- en fonction de la hauteur sous véhicule, exemple : à 80 m de hauteur la descente d'un passager se gère différemment qu'à 15 m
- et du nombre de personnes présentes sur chaque véhicule, exemple : %M et %D influent sur le temps moyen sur chaque brin (montant ou descendant)
Ne pas oublier de prendre en compte l'équipement des passagers (ski, VTT...)                                                                                                                                                                                                                    
Les temps à prendre sont ceux validés par les entraînements effectués grandeur nature et par les retours d'expérience sur des évacuations réelles. Temps= durée d'évacuation du véhicule complet</t>
  </si>
  <si>
    <t>Questo tempo varia in funzione:
- del materiale utilizzato per l'evacuazione (ad es.: per una evacuazione verticale: RG10, chouca, D09, …);
- del tipo di veicolo (ad es.: seggiola o cabina);
- dell'altezza del veicolo dal suolo (ad es.: la discesa di un passeggero a 80 m dal suolo si gestisce in modo differente  che a 15 m);
- del numero di persone presenti su ciascun veicolo (ad es.: %S e %D influiscono sul tempo medio impiegato su ciascun ramo ascendente o discendente).
Non dimenticarsi di considerare l'attrezzatura dei passeggeri (sci, MTB, ...).  
I tempi da considerare sono quelli avvalorati dalle prove effettuate sul campo e dall'esperienza acquisita attraverso avvenute evacuazioni. Tempo = durata dell'evacuazione del veicolo completo</t>
  </si>
  <si>
    <t>Ce temps varie en fonction : 
- du mode de déplacement, exemple : marche, chenillette … 
- de la difficulté de cheminement vers l'endroit sûr, exemple : couloir avalancheux ou barre rocheuse ou pente très dure 
- et de l'heure de fin de l'évacuation, exemple : retour à la nuit</t>
  </si>
  <si>
    <t>m</t>
  </si>
  <si>
    <t>Nombre de véhicules par portée</t>
  </si>
  <si>
    <t>Nombre de portées évacués</t>
  </si>
  <si>
    <t>Durée d'évacuation du dernier passager</t>
  </si>
  <si>
    <t>Saisir uniquement des nombres de 1 à 12</t>
  </si>
  <si>
    <t>Digitate soltanto numeri da 1 a 12</t>
  </si>
  <si>
    <t>Entre únicamente números del 1 al 12</t>
  </si>
  <si>
    <t>Enter only numbers from 1 to 12</t>
  </si>
  <si>
    <t>Pe</t>
  </si>
  <si>
    <t>Tv</t>
  </si>
  <si>
    <t>Longueur total suivant la pente</t>
  </si>
  <si>
    <t>Dimension de la portée suivant la pente</t>
  </si>
  <si>
    <t>Lunghezza inclinata della campata</t>
  </si>
  <si>
    <t>Longitud inclinada del vano</t>
  </si>
  <si>
    <t>Lunghezza inclinata totale</t>
  </si>
  <si>
    <t>Longitud inclinada total</t>
  </si>
  <si>
    <t>Brin montant</t>
  </si>
  <si>
    <t>m.</t>
  </si>
  <si>
    <t>Les conditions d'exploitation</t>
  </si>
  <si>
    <t>Les contraintes d'évacuation</t>
  </si>
  <si>
    <t>L'organisation de l'évacuation</t>
  </si>
  <si>
    <t>Las condiciones de explotación</t>
  </si>
  <si>
    <t>La organización de la evacuación</t>
  </si>
  <si>
    <t>Operating conditions</t>
  </si>
  <si>
    <t>Name der Station</t>
  </si>
  <si>
    <t>Name der Seilbahnanlage</t>
  </si>
  <si>
    <t>Plätze</t>
  </si>
  <si>
    <t>Min.</t>
  </si>
  <si>
    <t>Pers.</t>
  </si>
  <si>
    <t>Fahrz.</t>
  </si>
  <si>
    <t>SBF</t>
  </si>
  <si>
    <t>SBK</t>
  </si>
  <si>
    <t>KBK</t>
  </si>
  <si>
    <t>zur Auswahl</t>
  </si>
  <si>
    <t>von</t>
  </si>
  <si>
    <t>bis</t>
  </si>
  <si>
    <t>Mannschaft</t>
  </si>
  <si>
    <t>Geben Sie nur Zahlen von 1 - 12 ein</t>
  </si>
  <si>
    <t>max.</t>
  </si>
  <si>
    <t>máx.</t>
  </si>
  <si>
    <t>Tratto</t>
  </si>
  <si>
    <t>L'organizzazione dell'evacuazione</t>
  </si>
  <si>
    <t>Las limitaciones de la evacuación</t>
  </si>
  <si>
    <t>inconnue</t>
  </si>
  <si>
    <t>desconocida</t>
  </si>
  <si>
    <t>unbekannt</t>
  </si>
  <si>
    <t>unknown</t>
  </si>
  <si>
    <t>sconosciuta</t>
  </si>
  <si>
    <t>La feuille 4-R, les résultats, est un résumé de toutes les données saisies et la distribution des équipes d'évacuation. Est prête à imprimer</t>
  </si>
  <si>
    <t>Date</t>
  </si>
  <si>
    <t>Total inclined length</t>
  </si>
  <si>
    <t>Maximum time to bring back the last passenger to a safe place</t>
  </si>
  <si>
    <t>Time to reach next vehicle (or the first one)</t>
  </si>
  <si>
    <t>Evacuation limit time</t>
  </si>
  <si>
    <t xml:space="preserve">Evacuated duration of the last passenger </t>
  </si>
  <si>
    <t>Margin/Evacuation maximum duration</t>
  </si>
  <si>
    <t>Seats</t>
  </si>
  <si>
    <t>Span inclined length</t>
  </si>
  <si>
    <t>General data</t>
  </si>
  <si>
    <t>In Europe 180 mn besides 30 mn to take the decision</t>
  </si>
  <si>
    <t>Data entry type</t>
  </si>
  <si>
    <t>Automatic entry</t>
  </si>
  <si>
    <t>Manual entry</t>
  </si>
  <si>
    <t>Incomplete, excessive or wrong entry</t>
  </si>
  <si>
    <t>Wrong entry</t>
  </si>
  <si>
    <t>Incomplete entry</t>
  </si>
  <si>
    <t>Entry OK</t>
  </si>
  <si>
    <t>Missing data in 1-DG sheet</t>
  </si>
  <si>
    <t>Datos incompletos en la hoja 1-DG o 2-DL</t>
  </si>
  <si>
    <t>Dati incompleti nel foglio 1-DG o 2-DL</t>
  </si>
  <si>
    <t>Donnée incomplètes à la feuille 1-DG ou 2-DL</t>
  </si>
  <si>
    <t>Incomplete data in 1-DG or 2_DL sheet</t>
  </si>
  <si>
    <t>Evacuation restriction</t>
  </si>
  <si>
    <t>Evacuation arrangement</t>
  </si>
  <si>
    <t>4-R sheet, results, is a data entry overview and the evacuation team distribution. Ready to print.</t>
  </si>
  <si>
    <t>For a repetitive span data entry use the lower brown cell</t>
  </si>
  <si>
    <t>Si el dato es el mismo para todos los vanos, éntrelo en la casilla inferior marrón</t>
  </si>
  <si>
    <t xml:space="preserve">Si la donnée est la même pour toutes les portées la saisissez la zone brun 
du dessus
</t>
  </si>
  <si>
    <t>Se il dato è identico per tutte le campate introducetelo nella soprastante casella bruno</t>
  </si>
  <si>
    <t>For a different span data entry use the lower grey cells</t>
  </si>
  <si>
    <t>Parámetros fruto de la experiencia de los operadores y de los organismos de control</t>
  </si>
  <si>
    <t>Data entry on yellow cells</t>
  </si>
  <si>
    <t>Entre los datos en las casillas amarillas</t>
  </si>
  <si>
    <t>Declaro haber leído y aceptado las condiciones de utilización de esta hoja Excel. Declaro asumir todas las responsabilidades ligadas al uso de los datos producidos por este fichero, ya sean verdaderos o falsos.</t>
  </si>
  <si>
    <t>Dichiaro di aver letto e accettato le condizioni di utilizzo di questo foglio Excel. Dichiaro di assumere tutte le responsabilità connesse all'utilizzo dei risultati prodotti da questo programma, che siano giusti o errati.</t>
  </si>
  <si>
    <t>Je déclare avoir lu et accepté les conditions d'utilisation de cette feuille excel. Je déclare assumer toutes les responsabilités liées à l 'utilisation des données produites par ce fichier, qu'elles soient justes ou fausses.</t>
  </si>
  <si>
    <t>I have read and accepted the conditions of use of this Excel sheet. I declare to assume all responsibilities related to the use of data produced by this file, whether true or false.</t>
  </si>
  <si>
    <t>If you have not entered all the data on sheet 1-DG or 2-DL, an error message appears on the sheet 3-AE.</t>
  </si>
  <si>
    <t>Section</t>
  </si>
  <si>
    <t>Length of the section</t>
  </si>
  <si>
    <t>Time to cross a tower between two vehicles of the same section</t>
  </si>
  <si>
    <t>If you have not entered all the data on sheet 1-DG, an error message appears on sheet 2-DL.</t>
  </si>
  <si>
    <t xml:space="preserve">Les valeurs de T2 et de T3 peuvent être égales pour toutes les portées ou bien avoir une valeur différente pour chaque une d’elles.  
Si les valeurs sont toutes égales, il faut choisir de la liste déroulante :  "portées identiques" et saisir la valeur  appropriée dessous de la liste déroulante.   
Si les valeurs sont différentes, les saisir dans la colonne inférieure pour chaque portée.  
</t>
  </si>
  <si>
    <t>Este tiempo varía en función: 
- del modo de desplazamiento, ejemplo: caminando, en pisanieves … 
- de la dificultad del recorrido hacia el lugar seguro, ejemplo: canal de aludes o zona rocosa o pendiente muy pronunciada 
- de la hora de finalización de la evacuación, ejemplo: retorno de noche</t>
  </si>
  <si>
    <t>Cette feuille est prévue pour un maximum de 25 pylônes (26 portées) et de 12 équipes d'évacuation</t>
  </si>
  <si>
    <t>Questo programma di calcolo prevede un massimo di 25 sostegni (26 campate) e di 12 squadre</t>
  </si>
  <si>
    <t>Esta hoja está prevista para un máximo de 25 torres (26 vanos) y 12 equipos</t>
  </si>
  <si>
    <t>This calculation sheet is planned for a maximum of 25 towers (26 spans) and 12 teams</t>
  </si>
  <si>
    <t>Le calcul du programme démarre avec les données générales de l’appareil  qui se trouvent dans la feuille 1-DG.Il faut remplir tous les données.  
Il y a une liste déroulante qui donne quelques  ordres de grandeur de valeurs qui peuvent servir de référence pour certaines données.  
Dans la feuille 2-DL, données de ligne, il faut mettre les donnés relatives aux dimensions de les portées suivant la pente et les temps T1, T2, T3 et T4, en tenant compte que:</t>
  </si>
  <si>
    <t>El cálculo del programa empieza con los datos generales que se encuentran en la hoja 1-DG. Se han de introducir todos los datos.  
Hay una lista desplegable con valores que pueden servir de referencia.  
En la hoja 2-DL, datos de línea, se ha de introducir la longitud inclinada de los vanos y los tiempos T1, T2, T3 et T4, teniendo en cuenta que:</t>
  </si>
  <si>
    <t>The values ​​of T2 and T3 can be the same for all spans or have a different value for each of them.
If the values ​​are equal, choose from the listbox "identical spans" and enter the appropriate value from the listbox below.
If the values ​​are different, entry them on the lower cells, one for each span</t>
  </si>
  <si>
    <t>Ëquipe</t>
  </si>
  <si>
    <t xml:space="preserve">Eingabedatum </t>
  </si>
  <si>
    <t>Max. Anzahl zu evakuierende Fahrzeuge</t>
  </si>
  <si>
    <t>Bezeichnung (Nummer) der ersten Stütze im Spannfeld</t>
  </si>
  <si>
    <t>Stütze zu Beginn (erste Stütze)</t>
  </si>
  <si>
    <t>Bezeichnung (Nummer) des Spannfeldes</t>
  </si>
  <si>
    <t>Spannfelder</t>
  </si>
  <si>
    <t>Anzahl evakuierte Spannfelder</t>
  </si>
  <si>
    <t xml:space="preserve">Grösse des Spannfeldes </t>
  </si>
  <si>
    <t>Gesamte schräge Länge</t>
  </si>
  <si>
    <t>Bergeabschnitt</t>
  </si>
  <si>
    <t>Länge des / r Bergeabschnitts / e</t>
  </si>
  <si>
    <t>Zeit zum Übergang einer zwischen zwei Fahrzeugen gelegenen Stütze eines Bergeabschnitts</t>
  </si>
  <si>
    <t>Maximale Zeit, den letzten Fahrgast an einen sicheren Ort zu bringen</t>
  </si>
  <si>
    <t xml:space="preserve">Zeit des Zugangs zum  nächsten (bez. ersten) Fahrzeug </t>
  </si>
  <si>
    <t>Mittlere Bergezeit pro Fahrgast</t>
  </si>
  <si>
    <t>Dauer bis zur Bergung des letzten Fahrgastes</t>
  </si>
  <si>
    <t>Abweichung / äusserste Bergezeit</t>
  </si>
  <si>
    <t xml:space="preserve">Talstation </t>
  </si>
  <si>
    <t>Bergstation</t>
  </si>
  <si>
    <t>Das Rechenprogramm ist für maximal 25 Stützen (26 Spannfelder) und 16 Bergemannschaften ausgelegt</t>
  </si>
  <si>
    <t>Das Rechenprogramm sollte nur von Anwendern benutzt werden, die mit EXCEL vertraut sind</t>
  </si>
  <si>
    <t>Das Programm beginnt mit der Erfassung der allgemeinen Daten der Anlage aus Blatt 1-DG. Es sind alle Daten einzugeben. 
Dabei können Werte aus einer Dropdown-Liste mit Referenzwerten ausgewählt werden. 
In Blatt 2-DL, Daten der Strecke, sind die Spannfeldlängen sowie die Zeiten  T1, T2, T3 und T4 anzugeben. Dabei ist zu berücksichtigen, dass:</t>
  </si>
  <si>
    <t>Die Zeit abhängig ist von:
- der Art des Zugangs (Beispiel : mit Ski, mit Pistenraupe)
- der Schwierigkeit des Zuganges zur Stütze (Beispiel : Lawinengefahr, Felsvorsprung, starke Hangneigung)
- der Schwierigkeit des Aufstiegs auf die Stütze (Beispiel : bei 50 m Stützenhöhe sind Sicherungsabsätze vorzusehen)
- dem Ausgangsort (Beispiel :  Stationsnähe, Pistenbeginn, entgegen gesetzte Seite des Gebiets)</t>
  </si>
  <si>
    <t>Die Zeit ist abhängig von 
- der verwendeten Bergeausrüstung (Beispiel für Abseilen : RG10, Dohle, D09 …)
- der Art des Fahrzeuges, das evakuiert  wird (Beispiel : Sessel, Kabine) 
- dem Abstand des Fahrzeuges zum Boden (Beispiel : Bei Bergen aus 80 m Höhe wird anders verfahren als bei 15 m Bodenabstand)
- der Anzahl der Personen pro Fahrzeug
Nicht die Ausrüstung der Fahrgäste vergessen (Beispiel : Skl, Mountain Bike ...) !
Die Zeiten sollten sich auf Bergeübungen vor Ort und effektiv durchgeführte Bergungen an der Anlage abstützen</t>
  </si>
  <si>
    <t xml:space="preserve">Die Zeit ist abhängig von :
- der verwendeten Bergeausrüstung (Beispiel bei Abseilen : RG10, Dohle, D09 …)
- der Art der Fahrzeuge (Sessel, Kabine)
- dem Abstand des Fahrzeuges vom Boden (beim Bergen aus 80 m Höhe wird anders verfahren als bei 15 m Bodenabstand) 
- der Anzahl der Fahrgäste pro Fahrzeug (Beispiel : % Tal- bez. Bergbeförderung hat Auswirkungen auf die Bergezeit des Tal- bez. Bergseils)
Nicht die Ausrüstung der Fahrgäste vergessen (Ski, Mountain Bike...) !
Die Zeiten sollten sich auf Bergeübungen vor Ort oder effektiv durchgeführte Bergungen abstützen
Zeit : Dauer der Evakuierung eines kompletten Fahrzeuges </t>
  </si>
  <si>
    <t>Die Zeit ist abhängig von :
- der Art des Zuganges (Beispiel : zu Fuss, mit Pistenraupe …)
- der Schwierigkeit des Übergangs an einen sicheren Ort (Beispiel : Lawinenzug, felsiges Gelände, starke Handneigung...)
- dem Zeitpunkt der Beendigung der Bergung (Beispiel : Einbruch der Dunkelheit)</t>
  </si>
  <si>
    <t>Die Werte von T2 und T3 können für alle Spannfelder gleich oder für jedes einzelne Spannfeld unterschiedlich sein. 
Bei gleichen Werten aus der Dropdown-Liste die Zeile "gleiche Spannfelder" auswählen und unten den entsprechenden Wert eingeben. 
Bei unterschiedlichen Werten sind diese einzeln in die Spalte für jedes Spannfeld einzugeben.</t>
  </si>
  <si>
    <t>Wenn nicht alle Daten in Blatt 1-DG eingegeben sind, erscheint eine Fehlermeldung auf Blatt 2-DL.</t>
  </si>
  <si>
    <t>Blatt 3-AE, Einteilung der Bergemannschaften, berechnet dieVerteilung der Bergemannschaften auf die einzelnen Abschnitte. 
Die einzugebenden Werte können dem Programm entnommen oder nach eigenem Ermessen ausgewählt werden.</t>
  </si>
  <si>
    <t>Wenn nicht alle Daten in Blatt 1-DG bez. 2-DL eingegeben sind, erscheint eine Fehlermeldung auf Blatt 3-AE.</t>
  </si>
  <si>
    <t>Ich habe die Bedingungen zur Verwendung des vorliegenden Excel-Blattes gelesen und akzeptiert. Ich übernehme die volle Verantwortung für die Nutzung der Daten, die durch diese Datei generiert wurden, seien sie richtig oder falsch.</t>
  </si>
  <si>
    <t>Schreiben Sie in den gelben Feldern.</t>
  </si>
  <si>
    <t>Einige Größenordnungen aus der Erfahrung von Betreibern und Aufsichtsbehörden</t>
  </si>
  <si>
    <t>Achtung ! : Ihr Fall wird nie mit einem der unseren voll deckungsgleich sein</t>
  </si>
  <si>
    <t>In Europa 180 Min. plus 30 Min. für die Entscheidungsfindung</t>
  </si>
  <si>
    <t>Ausser den beiden Stationen (max. 25 Stützen)</t>
  </si>
  <si>
    <t>Wählen Sie den ungünstigsten Betriebsfall.</t>
  </si>
  <si>
    <t xml:space="preserve">Gleiche Spannfelder </t>
  </si>
  <si>
    <t>Unterschiedliche Spannfelder</t>
  </si>
  <si>
    <t>Gesamtwert</t>
  </si>
  <si>
    <t>Bei gleichem Wert für alle Spannfelder geben Sie diesen in das untere braune Feld ein</t>
  </si>
  <si>
    <t>Bei unterschiedlichen Werten für jedes einzelne Spannfeld geben sie diese in die unteren grauen Felder ein</t>
  </si>
  <si>
    <t>Werte in die grauen Felder eingeben (Felder werden gelb). Sind die Felder bereits gelb, können sie abgeändert werden.</t>
  </si>
  <si>
    <t>Ihre Einteilung der  Bergemann-schaften</t>
  </si>
  <si>
    <t>Manuelle Eingabe</t>
  </si>
  <si>
    <t>Eingabe o.k.</t>
  </si>
  <si>
    <t>Eingabe unvollständig</t>
  </si>
  <si>
    <t>Eingabe unvollständig, zu  hoch oder falsch</t>
  </si>
  <si>
    <t xml:space="preserve">Fehlen Daten im Blatt 1-DG </t>
  </si>
  <si>
    <t>Daten unvollständig im Datenblatt 1-DG oder 2-DL</t>
  </si>
  <si>
    <t>sonstiges</t>
  </si>
  <si>
    <t>Vorgaben  der Bergung</t>
  </si>
  <si>
    <t>Blatt 4-R - Ergebnisse - gibt eine Zusammenfassung aller eingegebenen Daten und die Verteilung der Bergeteams. Druckbereit</t>
  </si>
  <si>
    <t>Temps d'accès au pylône et d'arrivée au premier véhicule</t>
  </si>
  <si>
    <t>Temps moyen d'évacuation d'un véhicule plein et pour aller au véhicule suivant</t>
  </si>
  <si>
    <t>Tempo di accesso al sostegno e di arrivo sul primo veicolo</t>
  </si>
  <si>
    <t>Tempo medio di evacuazione di un veicolo pieno e per spostarsi al veicolo seguente</t>
  </si>
  <si>
    <t>Tiempo de acceso a la torre y llegada al primer vehículo</t>
  </si>
  <si>
    <t>Tiempo medio de evacuación de un vehículo lleno e ir al siguiente</t>
  </si>
  <si>
    <t>Zeit des Zugangs zur Stütze und des Erreichens des ersten Fahrzeugs</t>
  </si>
  <si>
    <t>Mittlere Bergezeit eines vollbeladenen Fahrzeugs und Erreichen des nächsten Fahrzeugs</t>
  </si>
  <si>
    <t>Access time to the tower and to arrive to the first vehicle</t>
  </si>
  <si>
    <t>Average time to evacuate a full vehicle and to go to the next one</t>
  </si>
  <si>
    <t>Este tiempo varía en función de:
- modo de desplazamiento, ejemplo: con esquíes o en pisanieves
- dificultad de acceso a la torre, ejemplo: canal de aludes, zona rocosa o pendiente muy pronunciada
- dificultad de acceso al primer vehículo a evacuar, ejemplo: una altura de 50 m requiere utilizar plataformas de recuperación  
- lugar de partida, ejemplo: estación vecina, pie de pistas, el otro extremo de la estación ...</t>
  </si>
  <si>
    <t>Questo tempo varia in funzione:
- del metodo di spostamento (ad es.: con gli sci o col mezzo battipista)
- della difficoltà di accesso al sostegno (ad es.: canale esposto a valanghe o salto di roccia o pendio molto ripido);   
- della difficoltà di accesso al primo veicolo da evacuare  (ad es.: un'altezza di 50 m richiede l'utilizzo di piattaforme di recupero);  
- del luogo di partenza (ad es.: stazione vicina, piede delle piste, altro estremio della stazione, ...)</t>
  </si>
  <si>
    <t>Ce temps varie en fonction :
- du mode de déplacement,   exemple : accès à ski ou en chenillette
- de la difficulté d'accès vers le pylône,   exemple : couloir avalancheux ou barre rocheuse ou pente très dure   
- et de la difficulté d'accès au premier véhicule à évacuer,  exemple : une hauteur de 50 m demande d'effectuer des paliers de récupération  
- et de l'endroit de départ,   exemple : station voisine, pied des pistes, autre côté de la station...</t>
  </si>
  <si>
    <t>The time depends on:
- dissplacement way, eg with skis or grooming machine (snowcat)
- Difficult access to the tower, eg avalanche area, rocky or steep zone
- Difficult access to the first vehicle to evacuate, ie a height of 50 m requires use recovery platforms
- Place of departure, eg closest resort, resort base, the other side of the resort ...</t>
  </si>
  <si>
    <t>Longueur tronçon</t>
  </si>
  <si>
    <t>Temps cumulé</t>
  </si>
  <si>
    <t>Équipe</t>
  </si>
  <si>
    <t>Colonne des données</t>
  </si>
  <si>
    <t>Véhicules évacués à chaque portée</t>
  </si>
  <si>
    <t>Véhicles evacués</t>
  </si>
  <si>
    <t>Calcul utilisateur : Brin Montant</t>
  </si>
  <si>
    <t>Calcul utilisateur : Brin Descendant</t>
  </si>
  <si>
    <t>Remplissage des véhicules : Brin montant</t>
  </si>
  <si>
    <t>Remplissage des véhicules : Brin descendant</t>
  </si>
  <si>
    <t>Evaluation of your allocation</t>
  </si>
  <si>
    <t>Evaluation de votre affectation</t>
  </si>
  <si>
    <t>Valutazione della tua assegnazione</t>
  </si>
  <si>
    <t>Evaluación de su asignación</t>
  </si>
  <si>
    <t>Nombre maximal de véhicules à évacuer</t>
  </si>
  <si>
    <t>Maximum number of vehicles to evacuate</t>
  </si>
  <si>
    <t>Bewertung Ihrer Einteilung</t>
  </si>
  <si>
    <t xml:space="preserve">Sprache · Language · Idioma · Langue · Lingua </t>
  </si>
  <si>
    <t>Eingabe fehlerhaft</t>
  </si>
  <si>
    <t>The time depends on:
- the material used for evacuation, eg vertical evacuation: RG10, Chouca, D09 ...
- the type of vehicle, eg chair or cabin
- the lift line height under the vehicle, eg at 80 m height lowering of a passenger is managed differently from 15 m.
- the number of passenger per vehicle, eg the%% uphill and downhill influence the average time of each branch (ascending or descending)
Considerer passenger equipment (skis, mountain bike ...)
Testing time and/or operator experience might be used to get the estimated time
Time = duration of the evacuation of a complete vehicle</t>
  </si>
  <si>
    <t>The time depends on:
- Material used for evacuation, eg vertical evacuation: RG10, Chouca, D09 ...
- Type of vehicle, eg chair or booth
- Height under the vehicle, eg a 80m descent of a passenger is managed differently from 15m
- Number of passengers per vehicle
Consider passenger equipment (skis, mountain bike ...)
Testing time and/or operator experience might be used to get the estimated time</t>
  </si>
  <si>
    <t>Allgemeine Daten</t>
  </si>
  <si>
    <t>Betriebsbedingungen</t>
  </si>
  <si>
    <t>Organsation der Bergung</t>
  </si>
  <si>
    <t>Numero massimo di veicoli da evacuare</t>
  </si>
  <si>
    <t>Tempo per arrivare al veicolo successivo (o al primo)</t>
  </si>
  <si>
    <t>Il calcolo del programma inizia con i dati generali dell'impianti che si trovano nel foglio 1-DG. Occorre completare tutti i dati richiesti. Utilizzare la tendina a scorrimento che fornisce alcuni valori che possono servire come riferimento per introdurre qualche dato.  
Nel foglio 2-DL, dati di linea, occorre indicare i dati relativi alle lunghezze inclinate delle campate e i tempi T1, T2, T3 e T4, tenendo conto che:</t>
  </si>
  <si>
    <t>I valori di T2 e di T3 possono essere uguali per tutte le campate oppure avere un valore differente per ciascuna di esse. 
Se i valori sono tutti uguali occorre scegliere "camapate identiche" dalla tendina a scorrimento e introdurre il valore appropriato sotto la tendina scorrevole. 
Se i valori sono differenti introdurli nella colonna sottostante per ciascuna campata.</t>
  </si>
  <si>
    <t>Il foglio 3-AE "assegnazione delle squadre" calcola la distribuzione delle squadre per tratto.
I valori da introdurre possono essere quelli che appaiono nel programma o altri che ci sembrano più appropriati.</t>
  </si>
  <si>
    <t>Introduzione incompleta, eccessiva o errata</t>
  </si>
  <si>
    <t>max</t>
  </si>
  <si>
    <t>Le condizioni di esercizio</t>
  </si>
  <si>
    <t>I vincoli dell'evacuazione</t>
  </si>
  <si>
    <t>Il foglio 4-R, risultati, è la sintesi di tutti i dati immessi e della distribuzione delle squadre di evacuazione. E' pronta per la stampa.</t>
  </si>
  <si>
    <t xml:space="preserve">Vehicle capacity (maximum) </t>
  </si>
  <si>
    <t>Enter lift data</t>
  </si>
  <si>
    <t>Maximum number of evacuated vehicles  by team</t>
  </si>
  <si>
    <t>Evacuated person average time</t>
  </si>
  <si>
    <t>The calculation of the program starts with the general data on the sheet 1-DG. Data should be introduced.
There is a listbox of values ​​that can be used as a reference.
On sheet 2-DL,line data, inclined span length and times T1, T2, T3, T4 should be introduced, considering:</t>
  </si>
  <si>
    <t xml:space="preserve">Este tiempo varía en función de:
- material utilizado para la evacuación, ejemplo para una evacuación vertical: RG10, chouca, D09 …
- tipo de vehículo, ejemplo silla o cabina
- altura bajo el vehículo, ejemplo a 80 m. el descenso de un pasajero se gestiona de modo diferente al de 15m
- número de pasajeros por vehículo
No olvidar tener en cuenta el equipo de los pasajeros (esquíes, BTT ...)  
Su valor es el que se obtiene en las pruebas efectuadas en las instalaciones y por la experiencia en las evacuaciones reales </t>
  </si>
  <si>
    <t>Este tiempo varía en función:
- del material utilizado para la evacuación, ejemplo para una evacuación vertical: RG10, chouca, D09 … 
- del tipo de vehículo, ejemplo silla o cabina 
- de la altura bajo el vehículo, ejemplo: a 80 m de altura el descenso de un pasajero se gestiona de modo diferente de a 15 m.
- del número de personas presentes en cada vehículo, ejemplo: el llenado parcial de los vehículos influye en el tiempo de evacuación medio.
No olvidar el tener en cuenta el equipo de los pasajeros (esquíes, BTT ...)                                                                                                                                                                                                                     
Su valor es el que se obtiene en las pruebas efectuadas en las instalaciones y por la experiencia en las evacuaciones reales 
Tiempo = duración de la evacuación de un vehículo completo</t>
  </si>
  <si>
    <t>La hoja 4-R, resultados, es un resúmen de todos los datos introducidos y de la distribución de los equipos de evacuación. Está preparada para imprimirla.</t>
  </si>
  <si>
    <t>Heft Nr. 26-1</t>
  </si>
  <si>
    <t>book 26-1</t>
  </si>
  <si>
    <t>cuaderno 26-1</t>
  </si>
  <si>
    <t>cahier 26-1</t>
  </si>
  <si>
    <t>quaderno 26-1</t>
  </si>
</sst>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164" formatCode="_(* #,##0.00_);_(* \(#,##0.00\);_(* &quot;-&quot;??_);_(@_)"/>
    <numFmt numFmtId="165" formatCode="0&quot; prs&quot;"/>
    <numFmt numFmtId="166" formatCode="0&quot; sièges&quot;"/>
    <numFmt numFmtId="167" formatCode="0&quot; mn&quot;"/>
    <numFmt numFmtId="168" formatCode="0.00&quot; m&quot;"/>
    <numFmt numFmtId="169" formatCode="_-* #,##0\ _€_-;\-* #,##0\ _€_-;_-* &quot;-&quot;??\ _€_-;_-@_-"/>
    <numFmt numFmtId="170" formatCode="0.00&quot; v&quot;"/>
    <numFmt numFmtId="171" formatCode="#,##0&quot; mn&quot;"/>
    <numFmt numFmtId="172" formatCode="&quot;Equipe &quot;#0"/>
    <numFmt numFmtId="173" formatCode="0&quot; équipes&quot;"/>
    <numFmt numFmtId="174" formatCode="0.0&quot; v&quot;"/>
    <numFmt numFmtId="175" formatCode="0&quot; v&quot;"/>
    <numFmt numFmtId="176" formatCode="#,##0.0&quot; mn&quot;"/>
    <numFmt numFmtId="177" formatCode="&quot;E&quot;#0"/>
    <numFmt numFmtId="178" formatCode="0&quot; véhicules&quot;"/>
    <numFmt numFmtId="179" formatCode="0.0"/>
    <numFmt numFmtId="180" formatCode="0\ &quot;min&quot;"/>
    <numFmt numFmtId="181" formatCode="0\ &quot;min&quot;_)"/>
    <numFmt numFmtId="182" formatCode="#,##0.0\ &quot;m&quot;_)"/>
    <numFmt numFmtId="183" formatCode="0.00\ &quot;m&quot;_)"/>
    <numFmt numFmtId="184" formatCode="#,##0.00\ &quot;m&quot;_)"/>
    <numFmt numFmtId="185" formatCode="0\ &quot;v&quot;"/>
    <numFmt numFmtId="186" formatCode="0\ &quot;mIn&quot;"/>
    <numFmt numFmtId="187" formatCode="#,##0.00\ &quot;m&quot;"/>
    <numFmt numFmtId="188" formatCode="0\ &quot;m&quot;_)"/>
    <numFmt numFmtId="189" formatCode="0\ &quot;pers&quot;"/>
    <numFmt numFmtId="190" formatCode="0\ &quot;mIn&quot;_)"/>
    <numFmt numFmtId="191" formatCode="0_)"/>
    <numFmt numFmtId="192" formatCode="\ @"/>
    <numFmt numFmtId="193" formatCode="@\ \ _)"/>
    <numFmt numFmtId="194" formatCode="0.00\ &quot;m&quot;\ \ _)"/>
    <numFmt numFmtId="195" formatCode="0\ &quot;min&quot;\ \ _)"/>
    <numFmt numFmtId="196" formatCode="0.00\ \ &quot;m.&quot;\ \ \ _)"/>
    <numFmt numFmtId="197" formatCode="\ \ @"/>
    <numFmt numFmtId="198" formatCode="#,##0.00\ \ &quot;m.&quot;\ \ \ _)"/>
    <numFmt numFmtId="199" formatCode="#,##0.0\ &quot;m&quot;"/>
    <numFmt numFmtId="200" formatCode="0.0\ &quot;m&quot;_)"/>
    <numFmt numFmtId="201" formatCode="&quot;P&quot;#0"/>
    <numFmt numFmtId="202" formatCode="0.00\ &quot;min&quot;_)"/>
    <numFmt numFmtId="203" formatCode="#,##0&quot; v&quot;"/>
    <numFmt numFmtId="204" formatCode="0.0&quot; min&quot;"/>
    <numFmt numFmtId="205" formatCode="#,##0_ ;\-#,##0\ "/>
    <numFmt numFmtId="206" formatCode="0&quot; min&quot;"/>
    <numFmt numFmtId="207" formatCode="0&quot; s&quot;"/>
  </numFmts>
  <fonts count="79" x14ac:knownFonts="1">
    <font>
      <sz val="10"/>
      <name val="Arial"/>
      <charset val="204"/>
    </font>
    <font>
      <sz val="10"/>
      <name val="Arial"/>
      <family val="2"/>
    </font>
    <font>
      <b/>
      <sz val="10"/>
      <name val="Arial"/>
      <family val="2"/>
      <charset val="204"/>
    </font>
    <font>
      <b/>
      <sz val="10"/>
      <name val="Arial"/>
      <family val="2"/>
      <charset val="204"/>
    </font>
    <font>
      <b/>
      <sz val="12"/>
      <name val="Arial"/>
      <family val="2"/>
      <charset val="204"/>
    </font>
    <font>
      <sz val="8"/>
      <name val="Arial"/>
      <family val="2"/>
      <charset val="204"/>
    </font>
    <font>
      <b/>
      <sz val="8"/>
      <color indexed="57"/>
      <name val="Arial"/>
      <family val="2"/>
      <charset val="204"/>
    </font>
    <font>
      <sz val="10"/>
      <color indexed="57"/>
      <name val="Arial"/>
      <family val="2"/>
      <charset val="204"/>
    </font>
    <font>
      <i/>
      <sz val="8"/>
      <name val="Arial"/>
      <family val="2"/>
      <charset val="204"/>
    </font>
    <font>
      <sz val="8"/>
      <name val="Arial Narrow"/>
      <family val="2"/>
    </font>
    <font>
      <b/>
      <sz val="10"/>
      <color indexed="9"/>
      <name val="Arial"/>
      <family val="2"/>
      <charset val="204"/>
    </font>
    <font>
      <b/>
      <sz val="8"/>
      <name val="Arial Narrow"/>
      <family val="2"/>
    </font>
    <font>
      <sz val="10"/>
      <color indexed="14"/>
      <name val="Arial"/>
      <family val="2"/>
      <charset val="204"/>
    </font>
    <font>
      <b/>
      <sz val="8"/>
      <color indexed="8"/>
      <name val="Arial"/>
      <family val="2"/>
      <charset val="204"/>
    </font>
    <font>
      <b/>
      <sz val="10"/>
      <color indexed="8"/>
      <name val="Arial"/>
      <family val="2"/>
      <charset val="204"/>
    </font>
    <font>
      <sz val="10"/>
      <color indexed="23"/>
      <name val="Arial"/>
      <family val="2"/>
      <charset val="204"/>
    </font>
    <font>
      <sz val="10"/>
      <color indexed="8"/>
      <name val="Arial"/>
      <family val="2"/>
      <charset val="204"/>
    </font>
    <font>
      <b/>
      <sz val="8"/>
      <name val="Arial"/>
      <family val="2"/>
      <charset val="204"/>
    </font>
    <font>
      <b/>
      <sz val="8"/>
      <color indexed="8"/>
      <name val="Tahoma"/>
      <family val="2"/>
    </font>
    <font>
      <b/>
      <sz val="8"/>
      <color indexed="55"/>
      <name val="Arial"/>
      <family val="2"/>
      <charset val="204"/>
    </font>
    <font>
      <sz val="8"/>
      <color indexed="8"/>
      <name val="Arial"/>
      <family val="2"/>
      <charset val="204"/>
    </font>
    <font>
      <sz val="10"/>
      <color indexed="9"/>
      <name val="Arial"/>
      <family val="2"/>
      <charset val="204"/>
    </font>
    <font>
      <b/>
      <sz val="8"/>
      <color indexed="23"/>
      <name val="Arial Narrow"/>
      <family val="2"/>
    </font>
    <font>
      <sz val="8"/>
      <color indexed="23"/>
      <name val="Arial Narrow"/>
      <family val="2"/>
    </font>
    <font>
      <b/>
      <sz val="8"/>
      <color indexed="9"/>
      <name val="Arial Narrow"/>
      <family val="2"/>
    </font>
    <font>
      <b/>
      <sz val="8"/>
      <color indexed="10"/>
      <name val="Arial Narrow"/>
      <family val="2"/>
    </font>
    <font>
      <b/>
      <sz val="8"/>
      <color indexed="11"/>
      <name val="Arial Narrow"/>
      <family val="2"/>
    </font>
    <font>
      <sz val="8"/>
      <color indexed="8"/>
      <name val="Arial Narrow"/>
      <family val="2"/>
    </font>
    <font>
      <b/>
      <sz val="11"/>
      <color indexed="9"/>
      <name val="Arial"/>
      <family val="2"/>
      <charset val="204"/>
    </font>
    <font>
      <sz val="10"/>
      <name val="Arial Black"/>
      <family val="2"/>
    </font>
    <font>
      <sz val="8"/>
      <name val="Arial Black"/>
      <family val="2"/>
    </font>
    <font>
      <sz val="12"/>
      <name val="Arial"/>
      <family val="2"/>
      <charset val="204"/>
    </font>
    <font>
      <sz val="16"/>
      <name val="Arial"/>
      <family val="2"/>
      <charset val="204"/>
    </font>
    <font>
      <b/>
      <sz val="11"/>
      <name val="Arial"/>
      <family val="2"/>
      <charset val="204"/>
    </font>
    <font>
      <b/>
      <sz val="8"/>
      <color indexed="9"/>
      <name val="Arial"/>
      <family val="2"/>
      <charset val="204"/>
    </font>
    <font>
      <sz val="8"/>
      <color indexed="8"/>
      <name val="Arial"/>
      <family val="2"/>
      <charset val="204"/>
    </font>
    <font>
      <b/>
      <sz val="11"/>
      <color indexed="9"/>
      <name val="Arial"/>
      <family val="2"/>
      <charset val="204"/>
    </font>
    <font>
      <sz val="12"/>
      <color indexed="9"/>
      <name val="Arial"/>
      <family val="2"/>
      <charset val="204"/>
    </font>
    <font>
      <b/>
      <sz val="9"/>
      <color indexed="9"/>
      <name val="Arial"/>
      <family val="2"/>
      <charset val="204"/>
    </font>
    <font>
      <b/>
      <sz val="7"/>
      <name val="Arial"/>
      <family val="2"/>
      <charset val="204"/>
    </font>
    <font>
      <sz val="7"/>
      <name val="Arial"/>
      <family val="2"/>
      <charset val="204"/>
    </font>
    <font>
      <b/>
      <sz val="12"/>
      <color indexed="9"/>
      <name val="Arial"/>
      <family val="2"/>
      <charset val="204"/>
    </font>
    <font>
      <i/>
      <sz val="7"/>
      <name val="Arial"/>
      <family val="2"/>
      <charset val="204"/>
    </font>
    <font>
      <b/>
      <sz val="12"/>
      <color indexed="51"/>
      <name val="Arial"/>
      <family val="2"/>
      <charset val="204"/>
    </font>
    <font>
      <b/>
      <sz val="12"/>
      <color indexed="56"/>
      <name val="Arial"/>
      <family val="2"/>
      <charset val="204"/>
    </font>
    <font>
      <b/>
      <sz val="8"/>
      <color indexed="57"/>
      <name val="Arial Narrow"/>
      <family val="2"/>
    </font>
    <font>
      <b/>
      <sz val="10"/>
      <color indexed="9"/>
      <name val="Arial"/>
      <family val="2"/>
      <charset val="204"/>
    </font>
    <font>
      <sz val="10"/>
      <color indexed="17"/>
      <name val="Arial"/>
      <family val="2"/>
      <charset val="204"/>
    </font>
    <font>
      <sz val="10"/>
      <color indexed="10"/>
      <name val="Arial"/>
      <family val="2"/>
      <charset val="204"/>
    </font>
    <font>
      <b/>
      <sz val="10"/>
      <color indexed="10"/>
      <name val="Arial"/>
      <family val="2"/>
      <charset val="204"/>
    </font>
    <font>
      <b/>
      <sz val="11"/>
      <color indexed="62"/>
      <name val="Arial"/>
      <family val="2"/>
      <charset val="204"/>
    </font>
    <font>
      <sz val="10"/>
      <color indexed="62"/>
      <name val="Arial"/>
      <family val="2"/>
      <charset val="204"/>
    </font>
    <font>
      <sz val="10"/>
      <color indexed="20"/>
      <name val="Arial"/>
      <family val="2"/>
      <charset val="204"/>
    </font>
    <font>
      <sz val="10"/>
      <color indexed="19"/>
      <name val="Arial"/>
      <family val="2"/>
      <charset val="204"/>
    </font>
    <font>
      <b/>
      <sz val="10"/>
      <color indexed="63"/>
      <name val="Arial"/>
      <family val="2"/>
      <charset val="204"/>
    </font>
    <font>
      <i/>
      <sz val="10"/>
      <color indexed="23"/>
      <name val="Arial"/>
      <family val="2"/>
      <charset val="204"/>
    </font>
    <font>
      <b/>
      <sz val="15"/>
      <color indexed="62"/>
      <name val="Arial"/>
      <family val="2"/>
      <charset val="204"/>
    </font>
    <font>
      <b/>
      <sz val="13"/>
      <color indexed="62"/>
      <name val="Arial"/>
      <family val="2"/>
      <charset val="204"/>
    </font>
    <font>
      <b/>
      <sz val="18"/>
      <color indexed="62"/>
      <name val="Cambria"/>
      <family val="2"/>
    </font>
    <font>
      <sz val="11"/>
      <name val="Arial"/>
      <family val="2"/>
      <charset val="204"/>
    </font>
    <font>
      <b/>
      <sz val="11"/>
      <color indexed="8"/>
      <name val="Arial"/>
      <family val="2"/>
      <charset val="204"/>
    </font>
    <font>
      <b/>
      <sz val="16"/>
      <name val="Arial"/>
      <family val="2"/>
      <charset val="204"/>
    </font>
    <font>
      <b/>
      <sz val="9"/>
      <name val="Arial"/>
      <family val="2"/>
    </font>
    <font>
      <sz val="9"/>
      <name val="Arial"/>
      <family val="2"/>
    </font>
    <font>
      <b/>
      <sz val="14"/>
      <name val="Arial"/>
      <family val="2"/>
    </font>
    <font>
      <sz val="12"/>
      <name val="Arial Black"/>
      <family val="2"/>
    </font>
    <font>
      <b/>
      <sz val="11"/>
      <color indexed="9"/>
      <name val="Arial"/>
      <family val="2"/>
      <charset val="204"/>
    </font>
    <font>
      <b/>
      <sz val="11"/>
      <color indexed="9"/>
      <name val="Arial"/>
      <family val="2"/>
      <charset val="204"/>
    </font>
    <font>
      <b/>
      <sz val="12"/>
      <color indexed="8"/>
      <name val="Arial"/>
      <family val="2"/>
      <charset val="204"/>
    </font>
    <font>
      <sz val="9"/>
      <color indexed="9"/>
      <name val="Arial"/>
      <family val="2"/>
    </font>
    <font>
      <b/>
      <sz val="9"/>
      <color indexed="8"/>
      <name val="Arial"/>
      <family val="2"/>
    </font>
    <font>
      <sz val="11"/>
      <color theme="1"/>
      <name val="Calibri"/>
      <family val="2"/>
      <scheme val="minor"/>
    </font>
    <font>
      <sz val="12"/>
      <color rgb="FF000000"/>
      <name val="Calibri"/>
      <family val="2"/>
    </font>
    <font>
      <sz val="10"/>
      <color rgb="FF000000"/>
      <name val="Arial"/>
      <family val="2"/>
    </font>
    <font>
      <u/>
      <sz val="10"/>
      <color theme="10"/>
      <name val="Arial"/>
      <family val="2"/>
    </font>
    <font>
      <u/>
      <sz val="10"/>
      <color theme="11"/>
      <name val="Arial"/>
      <family val="2"/>
    </font>
    <font>
      <sz val="14"/>
      <color theme="0"/>
      <name val="Arial"/>
      <family val="2"/>
    </font>
    <font>
      <sz val="14"/>
      <name val="Arial"/>
      <family val="2"/>
    </font>
    <font>
      <b/>
      <sz val="12"/>
      <color theme="0"/>
      <name val="Arial"/>
      <family val="2"/>
    </font>
  </fonts>
  <fills count="33">
    <fill>
      <patternFill patternType="none"/>
    </fill>
    <fill>
      <patternFill patternType="gray125"/>
    </fill>
    <fill>
      <patternFill patternType="solid">
        <fgColor indexed="44"/>
        <bgColor indexed="24"/>
      </patternFill>
    </fill>
    <fill>
      <patternFill patternType="solid">
        <fgColor indexed="29"/>
        <bgColor indexed="45"/>
      </patternFill>
    </fill>
    <fill>
      <patternFill patternType="solid">
        <fgColor indexed="26"/>
        <bgColor indexed="43"/>
      </patternFill>
    </fill>
    <fill>
      <patternFill patternType="solid">
        <fgColor indexed="41"/>
        <bgColor indexed="31"/>
      </patternFill>
    </fill>
    <fill>
      <patternFill patternType="solid">
        <fgColor indexed="24"/>
        <bgColor indexed="44"/>
      </patternFill>
    </fill>
    <fill>
      <patternFill patternType="solid">
        <fgColor indexed="43"/>
        <bgColor indexed="26"/>
      </patternFill>
    </fill>
    <fill>
      <patternFill patternType="solid">
        <fgColor indexed="45"/>
        <bgColor indexed="46"/>
      </patternFill>
    </fill>
    <fill>
      <patternFill patternType="solid">
        <fgColor indexed="61"/>
        <bgColor indexed="23"/>
      </patternFill>
    </fill>
    <fill>
      <patternFill patternType="solid">
        <fgColor indexed="50"/>
        <bgColor indexed="19"/>
      </patternFill>
    </fill>
    <fill>
      <patternFill patternType="solid">
        <fgColor indexed="9"/>
        <bgColor indexed="26"/>
      </patternFill>
    </fill>
    <fill>
      <patternFill patternType="solid">
        <fgColor indexed="55"/>
        <bgColor indexed="23"/>
      </patternFill>
    </fill>
    <fill>
      <patternFill patternType="solid">
        <fgColor indexed="48"/>
        <bgColor indexed="62"/>
      </patternFill>
    </fill>
    <fill>
      <patternFill patternType="solid">
        <fgColor indexed="54"/>
        <bgColor indexed="23"/>
      </patternFill>
    </fill>
    <fill>
      <patternFill patternType="solid">
        <fgColor indexed="49"/>
        <bgColor indexed="40"/>
      </patternFill>
    </fill>
    <fill>
      <patternFill patternType="solid">
        <fgColor indexed="10"/>
        <bgColor indexed="60"/>
      </patternFill>
    </fill>
    <fill>
      <patternFill patternType="solid">
        <fgColor indexed="46"/>
        <bgColor indexed="45"/>
      </patternFill>
    </fill>
    <fill>
      <patternFill patternType="solid">
        <fgColor indexed="13"/>
        <bgColor indexed="64"/>
      </patternFill>
    </fill>
    <fill>
      <patternFill patternType="solid">
        <fgColor indexed="8"/>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62"/>
        <bgColor indexed="64"/>
      </patternFill>
    </fill>
    <fill>
      <patternFill patternType="solid">
        <fgColor indexed="31"/>
        <bgColor indexed="64"/>
      </patternFill>
    </fill>
    <fill>
      <patternFill patternType="solid">
        <fgColor indexed="11"/>
        <bgColor indexed="64"/>
      </patternFill>
    </fill>
    <fill>
      <patternFill patternType="solid">
        <fgColor indexed="14"/>
        <bgColor indexed="64"/>
      </patternFill>
    </fill>
    <fill>
      <patternFill patternType="solid">
        <fgColor indexed="23"/>
        <bgColor indexed="64"/>
      </patternFill>
    </fill>
    <fill>
      <patternFill patternType="solid">
        <fgColor indexed="60"/>
        <bgColor indexed="64"/>
      </patternFill>
    </fill>
    <fill>
      <patternFill patternType="solid">
        <fgColor indexed="10"/>
        <bgColor indexed="64"/>
      </patternFill>
    </fill>
    <fill>
      <patternFill patternType="solid">
        <fgColor indexed="22"/>
        <bgColor indexed="8"/>
      </patternFill>
    </fill>
    <fill>
      <patternFill patternType="solid">
        <fgColor theme="1"/>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48"/>
      </bottom>
      <diagonal/>
    </border>
    <border>
      <left/>
      <right/>
      <top/>
      <bottom style="thin">
        <color indexed="24"/>
      </bottom>
      <diagonal/>
    </border>
    <border>
      <left/>
      <right/>
      <top style="thin">
        <color indexed="48"/>
      </top>
      <bottom style="double">
        <color indexed="48"/>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right/>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medium">
        <color auto="1"/>
      </right>
      <top/>
      <bottom/>
      <diagonal/>
    </border>
    <border>
      <left style="medium">
        <color auto="1"/>
      </left>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indexed="13"/>
      </left>
      <right/>
      <top/>
      <bottom/>
      <diagonal/>
    </border>
    <border>
      <left/>
      <right style="thin">
        <color indexed="13"/>
      </right>
      <top/>
      <bottom/>
      <diagonal/>
    </border>
    <border>
      <left/>
      <right/>
      <top style="thin">
        <color auto="1"/>
      </top>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indexed="13"/>
      </top>
      <bottom/>
      <diagonal/>
    </border>
    <border>
      <left style="thin">
        <color indexed="13"/>
      </left>
      <right style="thin">
        <color indexed="13"/>
      </right>
      <top/>
      <bottom/>
      <diagonal/>
    </border>
    <border>
      <left style="thin">
        <color indexed="13"/>
      </left>
      <right style="thin">
        <color indexed="13"/>
      </right>
      <top style="thin">
        <color indexed="13"/>
      </top>
      <bottom style="thin">
        <color indexed="13"/>
      </bottom>
      <diagonal/>
    </border>
    <border>
      <left style="medium">
        <color indexed="31"/>
      </left>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top style="thin">
        <color auto="1"/>
      </top>
      <bottom/>
      <diagonal/>
    </border>
    <border>
      <left/>
      <right/>
      <top/>
      <bottom style="medium">
        <color auto="1"/>
      </bottom>
      <diagonal/>
    </border>
  </borders>
  <cellStyleXfs count="1608">
    <xf numFmtId="0" fontId="0" fillId="0" borderId="0" applyNumberFormat="0" applyFont="0" applyFill="0" applyBorder="0" applyAlignment="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49" fillId="11" borderId="1" applyNumberFormat="0" applyAlignment="0" applyProtection="0"/>
    <xf numFmtId="0" fontId="10" fillId="12" borderId="2" applyNumberFormat="0" applyAlignment="0" applyProtection="0"/>
    <xf numFmtId="0" fontId="10" fillId="12" borderId="2" applyNumberFormat="0" applyAlignment="0" applyProtection="0"/>
    <xf numFmtId="0" fontId="10" fillId="12" borderId="2" applyNumberFormat="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1" fillId="7" borderId="1" applyNumberFormat="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3" fillId="7" borderId="0" applyNumberFormat="0" applyBorder="0" applyAlignment="0" applyProtection="0"/>
    <xf numFmtId="0" fontId="53" fillId="7" borderId="0" applyNumberFormat="0" applyBorder="0" applyAlignment="0" applyProtection="0"/>
    <xf numFmtId="0" fontId="53" fillId="7" borderId="0" applyNumberFormat="0" applyBorder="0" applyAlignment="0" applyProtection="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applyNumberFormat="0" applyFont="0" applyFill="0" applyBorder="0" applyAlignment="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applyNumberFormat="0" applyFont="0" applyFill="0" applyBorder="0" applyAlignment="0"/>
    <xf numFmtId="0" fontId="1" fillId="0" borderId="0"/>
    <xf numFmtId="0" fontId="71" fillId="0" borderId="0"/>
    <xf numFmtId="0" fontId="71" fillId="0" borderId="0"/>
    <xf numFmtId="0" fontId="1" fillId="0" borderId="0" applyNumberFormat="0" applyFont="0" applyFill="0" applyBorder="0" applyAlignment="0"/>
    <xf numFmtId="0" fontId="71" fillId="0" borderId="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0" fontId="1" fillId="4" borderId="4" applyNumberFormat="0" applyAlignment="0" applyProtection="0"/>
    <xf numFmtId="9" fontId="1"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54" fillId="11" borderId="5" applyNumberFormat="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7" fillId="0" borderId="7" applyNumberFormat="0" applyFill="0" applyAlignment="0" applyProtection="0"/>
    <xf numFmtId="0" fontId="57" fillId="0" borderId="7" applyNumberFormat="0" applyFill="0" applyAlignment="0" applyProtection="0"/>
    <xf numFmtId="0" fontId="57" fillId="0" borderId="7" applyNumberFormat="0" applyFill="0" applyAlignment="0" applyProtection="0"/>
    <xf numFmtId="0" fontId="50" fillId="0" borderId="7" applyNumberFormat="0" applyFill="0" applyAlignment="0" applyProtection="0"/>
    <xf numFmtId="0" fontId="50" fillId="0" borderId="7" applyNumberFormat="0" applyFill="0" applyAlignment="0" applyProtection="0"/>
    <xf numFmtId="0" fontId="50" fillId="0" borderId="7"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164" fontId="6" fillId="18" borderId="0" applyNumberFormat="0" applyFont="0" applyBorder="0" applyAlignment="0">
      <alignment horizontal="right" vertical="center"/>
      <protection locked="0"/>
    </xf>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cellStyleXfs>
  <cellXfs count="478">
    <xf numFmtId="0" fontId="0" fillId="0" borderId="0" xfId="0"/>
    <xf numFmtId="0" fontId="7" fillId="0" borderId="0" xfId="0" applyFont="1" applyAlignment="1">
      <alignment horizontal="right" vertical="center"/>
    </xf>
    <xf numFmtId="0" fontId="7" fillId="19" borderId="0" xfId="0" applyFont="1" applyFill="1" applyAlignment="1">
      <alignment horizontal="right" vertical="center"/>
    </xf>
    <xf numFmtId="0" fontId="17" fillId="20" borderId="0" xfId="0" applyFont="1" applyFill="1" applyBorder="1" applyAlignment="1">
      <alignment horizontal="center" vertical="top" wrapText="1"/>
    </xf>
    <xf numFmtId="171" fontId="20" fillId="18" borderId="9" xfId="0" applyNumberFormat="1" applyFont="1" applyFill="1" applyBorder="1" applyAlignment="1">
      <alignment horizontal="center" vertical="center"/>
    </xf>
    <xf numFmtId="168" fontId="19" fillId="0" borderId="0" xfId="0" applyNumberFormat="1" applyFont="1" applyFill="1" applyBorder="1" applyAlignment="1">
      <alignment horizontal="right" vertical="center"/>
    </xf>
    <xf numFmtId="0" fontId="5" fillId="21" borderId="0" xfId="0" applyFont="1" applyFill="1" applyBorder="1" applyAlignment="1">
      <alignment horizontal="center" vertical="center"/>
    </xf>
    <xf numFmtId="177" fontId="25" fillId="21" borderId="0" xfId="580" applyNumberFormat="1" applyFont="1" applyFill="1" applyBorder="1" applyAlignment="1">
      <alignment horizontal="center" vertical="center"/>
    </xf>
    <xf numFmtId="174" fontId="21" fillId="19" borderId="0" xfId="0" applyNumberFormat="1" applyFont="1" applyFill="1" applyAlignment="1">
      <alignment vertical="center"/>
    </xf>
    <xf numFmtId="0" fontId="0" fillId="0" borderId="0" xfId="0" applyAlignment="1">
      <alignment vertical="center"/>
    </xf>
    <xf numFmtId="0" fontId="5" fillId="19" borderId="0" xfId="0" applyFont="1" applyFill="1" applyAlignment="1">
      <alignment vertical="center" wrapText="1"/>
    </xf>
    <xf numFmtId="0" fontId="17" fillId="20" borderId="0" xfId="0" applyFont="1" applyFill="1" applyBorder="1" applyAlignment="1">
      <alignment horizontal="center" vertical="center" wrapText="1"/>
    </xf>
    <xf numFmtId="0" fontId="5" fillId="0" borderId="0" xfId="0" applyFont="1" applyAlignment="1">
      <alignment vertical="center" wrapText="1"/>
    </xf>
    <xf numFmtId="0" fontId="28" fillId="22" borderId="0" xfId="0" applyFont="1" applyFill="1" applyBorder="1" applyAlignment="1">
      <alignment horizontal="center" vertical="center"/>
    </xf>
    <xf numFmtId="0" fontId="16" fillId="22" borderId="0" xfId="0" applyFont="1" applyFill="1" applyAlignment="1">
      <alignment horizontal="center" vertical="center"/>
    </xf>
    <xf numFmtId="164" fontId="1" fillId="19" borderId="0" xfId="0" applyNumberFormat="1" applyFont="1" applyFill="1" applyAlignment="1">
      <alignment vertical="center"/>
    </xf>
    <xf numFmtId="0" fontId="1" fillId="19" borderId="0" xfId="0" applyFont="1" applyFill="1" applyAlignment="1">
      <alignment horizontal="left" vertical="center"/>
    </xf>
    <xf numFmtId="0" fontId="1" fillId="0" borderId="0" xfId="0" applyFont="1" applyAlignment="1">
      <alignment vertical="center"/>
    </xf>
    <xf numFmtId="0" fontId="1" fillId="19" borderId="0" xfId="0" applyFont="1" applyFill="1" applyAlignment="1">
      <alignment vertical="center"/>
    </xf>
    <xf numFmtId="0" fontId="1" fillId="19" borderId="0" xfId="0" applyFont="1" applyFill="1" applyAlignment="1">
      <alignment horizontal="right" vertical="center"/>
    </xf>
    <xf numFmtId="0" fontId="1" fillId="0" borderId="0" xfId="0" applyFont="1" applyBorder="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xf>
    <xf numFmtId="0" fontId="9" fillId="23" borderId="0" xfId="0" applyFont="1" applyFill="1" applyAlignment="1">
      <alignment horizontal="right" vertical="center"/>
    </xf>
    <xf numFmtId="165" fontId="0" fillId="0" borderId="0" xfId="0" applyNumberFormat="1" applyAlignment="1">
      <alignment vertical="center"/>
    </xf>
    <xf numFmtId="166" fontId="0" fillId="0" borderId="0" xfId="0" applyNumberFormat="1" applyAlignment="1">
      <alignment vertical="center"/>
    </xf>
    <xf numFmtId="0" fontId="9" fillId="23"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vertical="center"/>
    </xf>
    <xf numFmtId="0" fontId="14" fillId="18" borderId="0" xfId="1589" applyNumberFormat="1" applyFont="1" applyBorder="1" applyAlignment="1" applyProtection="1">
      <alignment horizontal="right" vertical="center"/>
    </xf>
    <xf numFmtId="0" fontId="36" fillId="19" borderId="0" xfId="0" applyFont="1" applyFill="1" applyAlignment="1">
      <alignment horizontal="right" vertical="center"/>
    </xf>
    <xf numFmtId="0" fontId="34" fillId="19" borderId="0" xfId="0" applyFont="1" applyFill="1" applyBorder="1" applyAlignment="1">
      <alignment vertical="center" wrapText="1"/>
    </xf>
    <xf numFmtId="0" fontId="1" fillId="19" borderId="0" xfId="0" applyFont="1" applyFill="1" applyBorder="1" applyAlignment="1">
      <alignment vertical="center"/>
    </xf>
    <xf numFmtId="0" fontId="1" fillId="0" borderId="0" xfId="0" applyFont="1" applyAlignment="1">
      <alignment horizontal="right" vertical="center"/>
    </xf>
    <xf numFmtId="0" fontId="5" fillId="0" borderId="0" xfId="0" applyFont="1" applyBorder="1" applyAlignment="1">
      <alignment horizontal="center" vertical="center"/>
    </xf>
    <xf numFmtId="0" fontId="37" fillId="24" borderId="0" xfId="0" applyFont="1" applyFill="1" applyAlignment="1">
      <alignment horizontal="center" vertical="center" wrapText="1"/>
    </xf>
    <xf numFmtId="0" fontId="1" fillId="0" borderId="0" xfId="0" applyFont="1" applyAlignment="1">
      <alignment horizontal="center" vertical="center"/>
    </xf>
    <xf numFmtId="0" fontId="32" fillId="24" borderId="0" xfId="0" applyFont="1" applyFill="1" applyAlignment="1">
      <alignment horizontal="center" vertical="center"/>
    </xf>
    <xf numFmtId="0" fontId="1" fillId="24" borderId="0" xfId="0" applyFont="1" applyFill="1" applyAlignment="1">
      <alignment horizontal="center" vertical="center" wrapText="1"/>
    </xf>
    <xf numFmtId="0" fontId="1" fillId="24" borderId="0" xfId="0" applyFont="1" applyFill="1" applyAlignment="1">
      <alignment horizontal="center" vertical="center"/>
    </xf>
    <xf numFmtId="0" fontId="31" fillId="24" borderId="0" xfId="0" applyFont="1" applyFill="1" applyBorder="1" applyAlignment="1">
      <alignment vertical="center" wrapText="1"/>
    </xf>
    <xf numFmtId="0" fontId="1" fillId="19" borderId="0" xfId="0" applyFont="1" applyFill="1" applyAlignment="1">
      <alignment horizontal="center" vertical="center"/>
    </xf>
    <xf numFmtId="175" fontId="1" fillId="19" borderId="0" xfId="0" applyNumberFormat="1" applyFont="1" applyFill="1" applyAlignment="1">
      <alignment vertical="center"/>
    </xf>
    <xf numFmtId="0" fontId="1" fillId="0" borderId="0" xfId="0" applyFont="1" applyFill="1" applyAlignment="1" applyProtection="1">
      <alignment vertical="center"/>
    </xf>
    <xf numFmtId="0" fontId="33" fillId="19" borderId="0" xfId="0" applyFont="1" applyFill="1" applyAlignment="1">
      <alignment vertical="center"/>
    </xf>
    <xf numFmtId="0" fontId="15" fillId="22" borderId="0" xfId="0" applyFont="1" applyFill="1" applyBorder="1" applyAlignment="1">
      <alignment vertical="center"/>
    </xf>
    <xf numFmtId="0" fontId="16" fillId="22" borderId="0" xfId="0" applyFont="1" applyFill="1" applyBorder="1" applyAlignment="1">
      <alignment horizontal="center" vertical="center"/>
    </xf>
    <xf numFmtId="0" fontId="1" fillId="0" borderId="0" xfId="0" applyFont="1" applyBorder="1" applyAlignment="1">
      <alignment horizontal="right" vertical="center"/>
    </xf>
    <xf numFmtId="0" fontId="4" fillId="0" borderId="0" xfId="0" applyFont="1" applyBorder="1" applyAlignment="1">
      <alignment horizontal="right" vertical="center"/>
    </xf>
    <xf numFmtId="3" fontId="14" fillId="18" borderId="0" xfId="1589" applyNumberFormat="1" applyFont="1" applyBorder="1" applyAlignment="1" applyProtection="1">
      <alignment horizontal="right" vertical="center"/>
    </xf>
    <xf numFmtId="9" fontId="14" fillId="18" borderId="0" xfId="1142" applyFont="1" applyFill="1" applyBorder="1" applyAlignment="1" applyProtection="1">
      <alignment horizontal="left" vertical="center"/>
    </xf>
    <xf numFmtId="167" fontId="14" fillId="18" borderId="0" xfId="1589" applyNumberFormat="1" applyFont="1" applyBorder="1" applyAlignment="1" applyProtection="1">
      <alignment vertical="center"/>
    </xf>
    <xf numFmtId="0" fontId="1" fillId="20" borderId="0" xfId="0" applyFont="1" applyFill="1" applyBorder="1" applyAlignment="1">
      <alignment horizontal="center" vertical="center"/>
    </xf>
    <xf numFmtId="0" fontId="39" fillId="7" borderId="0" xfId="0" applyFont="1" applyFill="1" applyAlignment="1">
      <alignment horizontal="left" vertical="top" wrapText="1"/>
    </xf>
    <xf numFmtId="0" fontId="40" fillId="0" borderId="0" xfId="0" applyFont="1" applyAlignment="1">
      <alignment wrapText="1"/>
    </xf>
    <xf numFmtId="0" fontId="41" fillId="24" borderId="0" xfId="0" applyFont="1" applyFill="1" applyAlignment="1">
      <alignment horizontal="left" vertical="center"/>
    </xf>
    <xf numFmtId="0" fontId="37" fillId="24" borderId="0" xfId="0" applyFont="1" applyFill="1" applyAlignment="1">
      <alignment vertical="center" wrapText="1"/>
    </xf>
    <xf numFmtId="0" fontId="37" fillId="24" borderId="0" xfId="0" applyFont="1" applyFill="1" applyAlignment="1">
      <alignment horizontal="left" vertical="center"/>
    </xf>
    <xf numFmtId="0" fontId="31" fillId="25" borderId="10" xfId="0" applyFont="1" applyFill="1" applyBorder="1" applyAlignment="1">
      <alignment horizontal="center" vertical="center" wrapText="1"/>
    </xf>
    <xf numFmtId="1" fontId="5" fillId="0" borderId="0" xfId="580" applyNumberFormat="1" applyFont="1" applyFill="1" applyAlignment="1">
      <alignment horizontal="left" vertical="center"/>
    </xf>
    <xf numFmtId="0" fontId="6" fillId="18" borderId="9" xfId="0" applyFont="1" applyFill="1" applyBorder="1" applyAlignment="1">
      <alignment horizontal="right" vertical="center"/>
    </xf>
    <xf numFmtId="2" fontId="6" fillId="18" borderId="9" xfId="0" applyNumberFormat="1" applyFont="1" applyFill="1" applyBorder="1" applyAlignment="1">
      <alignment horizontal="right" vertical="center"/>
    </xf>
    <xf numFmtId="177" fontId="25" fillId="21" borderId="9" xfId="580" applyNumberFormat="1" applyFont="1" applyFill="1" applyBorder="1" applyAlignment="1">
      <alignment horizontal="center" vertical="center"/>
    </xf>
    <xf numFmtId="0" fontId="45" fillId="0" borderId="9" xfId="0" applyFont="1" applyBorder="1" applyAlignment="1">
      <alignment horizontal="center" vertical="center"/>
    </xf>
    <xf numFmtId="0" fontId="9" fillId="0" borderId="0" xfId="0" applyFont="1" applyAlignment="1">
      <alignment vertical="center" wrapText="1"/>
    </xf>
    <xf numFmtId="0" fontId="9" fillId="0" borderId="0" xfId="0" applyFont="1" applyFill="1" applyAlignment="1">
      <alignment horizontal="center" vertical="center" wrapText="1"/>
    </xf>
    <xf numFmtId="164" fontId="9" fillId="0" borderId="0" xfId="580" applyFont="1" applyFill="1" applyAlignment="1">
      <alignment horizontal="center" vertical="center" wrapText="1"/>
    </xf>
    <xf numFmtId="167" fontId="9" fillId="0" borderId="0" xfId="0" applyNumberFormat="1" applyFont="1" applyFill="1" applyAlignment="1">
      <alignment horizontal="center" vertical="center" wrapText="1"/>
    </xf>
    <xf numFmtId="181" fontId="13" fillId="20" borderId="0" xfId="0" applyNumberFormat="1" applyFont="1" applyFill="1" applyBorder="1" applyAlignment="1">
      <alignment horizontal="center" vertical="center"/>
    </xf>
    <xf numFmtId="180" fontId="20" fillId="18" borderId="9" xfId="0" applyNumberFormat="1" applyFont="1" applyFill="1" applyBorder="1" applyAlignment="1">
      <alignment horizontal="center" vertical="center"/>
    </xf>
    <xf numFmtId="0" fontId="17" fillId="20" borderId="11" xfId="0" applyFont="1" applyFill="1" applyBorder="1" applyAlignment="1">
      <alignment horizontal="center" vertical="top" wrapText="1"/>
    </xf>
    <xf numFmtId="171" fontId="13" fillId="0" borderId="12" xfId="0" applyNumberFormat="1" applyFont="1" applyFill="1" applyBorder="1" applyAlignment="1">
      <alignment horizontal="center" vertical="center"/>
    </xf>
    <xf numFmtId="169" fontId="13" fillId="0" borderId="12" xfId="0" applyNumberFormat="1" applyFont="1" applyFill="1" applyBorder="1" applyAlignment="1">
      <alignment horizontal="center" vertical="center"/>
    </xf>
    <xf numFmtId="169" fontId="13" fillId="0" borderId="12" xfId="580" applyNumberFormat="1" applyFont="1" applyFill="1" applyBorder="1" applyAlignment="1">
      <alignment horizontal="center" vertical="center"/>
    </xf>
    <xf numFmtId="186" fontId="20" fillId="18" borderId="9" xfId="0" applyNumberFormat="1" applyFont="1" applyFill="1" applyBorder="1" applyAlignment="1">
      <alignment horizontal="center" vertical="center"/>
    </xf>
    <xf numFmtId="186" fontId="13" fillId="18" borderId="9" xfId="0" applyNumberFormat="1" applyFont="1" applyFill="1" applyBorder="1" applyAlignment="1">
      <alignment horizontal="center" vertical="center"/>
    </xf>
    <xf numFmtId="187" fontId="13" fillId="18" borderId="9" xfId="580" applyNumberFormat="1" applyFont="1" applyFill="1" applyBorder="1" applyAlignment="1">
      <alignment horizontal="center" vertical="center"/>
    </xf>
    <xf numFmtId="187" fontId="13" fillId="18" borderId="9" xfId="0" applyNumberFormat="1" applyFont="1" applyFill="1" applyBorder="1" applyAlignment="1">
      <alignment horizontal="center" vertical="center"/>
    </xf>
    <xf numFmtId="185" fontId="13" fillId="18" borderId="9" xfId="0" applyNumberFormat="1" applyFont="1" applyFill="1" applyBorder="1" applyAlignment="1">
      <alignment horizontal="center" vertical="center"/>
    </xf>
    <xf numFmtId="185" fontId="13" fillId="18" borderId="9" xfId="580" applyNumberFormat="1" applyFont="1" applyFill="1" applyBorder="1" applyAlignment="1">
      <alignment horizontal="center" vertical="center"/>
    </xf>
    <xf numFmtId="180" fontId="13" fillId="18" borderId="9" xfId="580" applyNumberFormat="1" applyFont="1" applyFill="1" applyBorder="1" applyAlignment="1">
      <alignment horizontal="center" vertical="center"/>
    </xf>
    <xf numFmtId="167" fontId="11" fillId="20" borderId="0" xfId="0" applyNumberFormat="1" applyFont="1" applyFill="1" applyAlignment="1">
      <alignment horizontal="center" vertical="center" wrapText="1"/>
    </xf>
    <xf numFmtId="175" fontId="13" fillId="19" borderId="0" xfId="0" applyNumberFormat="1" applyFont="1" applyFill="1" applyBorder="1" applyAlignment="1">
      <alignment horizontal="center" vertical="center"/>
    </xf>
    <xf numFmtId="1" fontId="13" fillId="19" borderId="0" xfId="0" applyNumberFormat="1" applyFont="1" applyFill="1" applyBorder="1" applyAlignment="1">
      <alignment horizontal="right" vertical="center"/>
    </xf>
    <xf numFmtId="9" fontId="20" fillId="19" borderId="0" xfId="1142" applyFont="1" applyFill="1" applyBorder="1" applyAlignment="1">
      <alignment horizontal="center" vertical="center"/>
    </xf>
    <xf numFmtId="1" fontId="20" fillId="19" borderId="0" xfId="0" applyNumberFormat="1" applyFont="1" applyFill="1" applyBorder="1" applyAlignment="1">
      <alignment horizontal="right" vertical="center"/>
    </xf>
    <xf numFmtId="168" fontId="20" fillId="19" borderId="0" xfId="580" applyNumberFormat="1" applyFont="1" applyFill="1" applyBorder="1" applyAlignment="1">
      <alignment horizontal="right" vertical="center"/>
    </xf>
    <xf numFmtId="172" fontId="13" fillId="19" borderId="0" xfId="0" applyNumberFormat="1" applyFont="1" applyFill="1" applyBorder="1" applyAlignment="1">
      <alignment horizontal="center" vertical="center"/>
    </xf>
    <xf numFmtId="185" fontId="17" fillId="23" borderId="0" xfId="0" applyNumberFormat="1" applyFont="1" applyFill="1" applyBorder="1" applyAlignment="1">
      <alignment horizontal="center" vertical="center"/>
    </xf>
    <xf numFmtId="0" fontId="17" fillId="20" borderId="13" xfId="0" applyFont="1" applyFill="1" applyBorder="1" applyAlignment="1">
      <alignment horizontal="center" vertical="top" wrapText="1"/>
    </xf>
    <xf numFmtId="185" fontId="13" fillId="26" borderId="14" xfId="0" applyNumberFormat="1" applyFont="1" applyFill="1" applyBorder="1" applyAlignment="1">
      <alignment horizontal="center" vertical="center"/>
    </xf>
    <xf numFmtId="172" fontId="13" fillId="21" borderId="15" xfId="0" applyNumberFormat="1" applyFont="1" applyFill="1" applyBorder="1" applyAlignment="1">
      <alignment horizontal="center" vertical="center"/>
    </xf>
    <xf numFmtId="172" fontId="13" fillId="21" borderId="16" xfId="0" applyNumberFormat="1" applyFont="1" applyFill="1" applyBorder="1" applyAlignment="1">
      <alignment horizontal="center" vertical="center"/>
    </xf>
    <xf numFmtId="0" fontId="19" fillId="0" borderId="11" xfId="0" applyFont="1" applyFill="1" applyBorder="1" applyAlignment="1">
      <alignment horizontal="center" vertical="center"/>
    </xf>
    <xf numFmtId="0" fontId="17" fillId="18" borderId="13" xfId="0" applyFont="1" applyFill="1" applyBorder="1" applyAlignment="1">
      <alignment horizontal="center" vertical="top" wrapText="1"/>
    </xf>
    <xf numFmtId="0" fontId="7" fillId="19" borderId="0" xfId="0" applyFont="1" applyFill="1" applyBorder="1" applyAlignment="1">
      <alignment horizontal="right" vertical="center"/>
    </xf>
    <xf numFmtId="0" fontId="11" fillId="20" borderId="0" xfId="0" applyFont="1" applyFill="1" applyAlignment="1" applyProtection="1">
      <alignment horizontal="center" vertical="center" wrapText="1"/>
    </xf>
    <xf numFmtId="0" fontId="20" fillId="19" borderId="0" xfId="580" applyNumberFormat="1" applyFont="1" applyFill="1" applyBorder="1" applyAlignment="1">
      <alignment horizontal="right" vertical="center"/>
    </xf>
    <xf numFmtId="0" fontId="26" fillId="21" borderId="0" xfId="0" applyFont="1" applyFill="1" applyBorder="1" applyAlignment="1">
      <alignment horizontal="center" vertical="center" wrapText="1"/>
    </xf>
    <xf numFmtId="0" fontId="4" fillId="0" borderId="17" xfId="0" applyFont="1" applyBorder="1" applyAlignment="1">
      <alignment vertical="center"/>
    </xf>
    <xf numFmtId="183" fontId="6" fillId="0" borderId="18" xfId="0" applyNumberFormat="1" applyFont="1" applyFill="1" applyBorder="1" applyAlignment="1">
      <alignment horizontal="right" vertical="center"/>
    </xf>
    <xf numFmtId="190" fontId="13" fillId="18" borderId="9" xfId="0" applyNumberFormat="1" applyFont="1" applyFill="1" applyBorder="1" applyAlignment="1">
      <alignment vertical="center"/>
    </xf>
    <xf numFmtId="0" fontId="46" fillId="24" borderId="0" xfId="0" applyFont="1" applyFill="1" applyAlignment="1">
      <alignment horizontal="left" vertical="top" wrapText="1"/>
    </xf>
    <xf numFmtId="0" fontId="1" fillId="0" borderId="0" xfId="0" applyFont="1" applyAlignment="1">
      <alignment wrapText="1"/>
    </xf>
    <xf numFmtId="181" fontId="13" fillId="21" borderId="16" xfId="0" applyNumberFormat="1" applyFont="1" applyFill="1" applyBorder="1" applyAlignment="1">
      <alignment vertical="center"/>
    </xf>
    <xf numFmtId="185" fontId="13" fillId="21" borderId="16" xfId="0" applyNumberFormat="1" applyFont="1" applyFill="1" applyBorder="1" applyAlignment="1">
      <alignment horizontal="center" vertical="center"/>
    </xf>
    <xf numFmtId="9" fontId="13" fillId="21" borderId="16" xfId="1142" applyFont="1" applyFill="1" applyBorder="1" applyAlignment="1">
      <alignment horizontal="center" vertical="center"/>
    </xf>
    <xf numFmtId="189" fontId="13" fillId="21" borderId="14" xfId="0" applyNumberFormat="1" applyFont="1" applyFill="1" applyBorder="1" applyAlignment="1">
      <alignment horizontal="center" vertical="center"/>
    </xf>
    <xf numFmtId="0" fontId="12" fillId="19" borderId="0" xfId="0" applyFont="1" applyFill="1" applyBorder="1" applyAlignment="1">
      <alignment vertical="center"/>
    </xf>
    <xf numFmtId="0" fontId="5" fillId="19" borderId="0" xfId="0" applyFont="1" applyFill="1" applyBorder="1" applyAlignment="1">
      <alignment vertical="center" wrapText="1"/>
    </xf>
    <xf numFmtId="0" fontId="1" fillId="19" borderId="0" xfId="0" applyFont="1" applyFill="1" applyBorder="1" applyAlignment="1">
      <alignment horizontal="center" vertical="center"/>
    </xf>
    <xf numFmtId="181" fontId="17" fillId="19" borderId="0" xfId="0" applyNumberFormat="1" applyFont="1" applyFill="1" applyBorder="1" applyAlignment="1">
      <alignment horizontal="center" vertical="center" wrapText="1"/>
    </xf>
    <xf numFmtId="181" fontId="17" fillId="20" borderId="0" xfId="0" applyNumberFormat="1" applyFont="1" applyFill="1" applyBorder="1" applyAlignment="1">
      <alignment horizontal="center" vertical="center" wrapText="1"/>
    </xf>
    <xf numFmtId="1" fontId="19" fillId="0" borderId="11" xfId="0" applyNumberFormat="1" applyFont="1" applyFill="1" applyBorder="1" applyAlignment="1">
      <alignment horizontal="right" vertical="center"/>
    </xf>
    <xf numFmtId="0" fontId="40" fillId="0" borderId="0" xfId="840" applyFont="1" applyAlignment="1">
      <alignment horizontal="left" vertical="top" wrapText="1"/>
    </xf>
    <xf numFmtId="182" fontId="17" fillId="20" borderId="0" xfId="0" applyNumberFormat="1" applyFont="1" applyFill="1" applyBorder="1" applyAlignment="1">
      <alignment horizontal="center" vertical="center" wrapText="1"/>
    </xf>
    <xf numFmtId="0" fontId="40" fillId="0" borderId="0" xfId="0" applyFont="1" applyAlignment="1">
      <alignment vertical="top" wrapText="1"/>
    </xf>
    <xf numFmtId="0" fontId="1" fillId="0" borderId="0" xfId="745" applyFont="1" applyAlignment="1">
      <alignment vertical="center"/>
    </xf>
    <xf numFmtId="0" fontId="1" fillId="0" borderId="0" xfId="745" applyFont="1" applyAlignment="1">
      <alignment horizontal="center" vertical="center"/>
    </xf>
    <xf numFmtId="192" fontId="17" fillId="0" borderId="0" xfId="890" applyNumberFormat="1" applyFont="1" applyFill="1" applyBorder="1" applyAlignment="1">
      <alignment vertical="center"/>
    </xf>
    <xf numFmtId="0" fontId="17" fillId="0" borderId="0" xfId="745" applyNumberFormat="1" applyFont="1" applyAlignment="1">
      <alignment vertical="center"/>
    </xf>
    <xf numFmtId="0" fontId="1" fillId="0" borderId="0" xfId="890" applyFont="1" applyAlignment="1">
      <alignment vertical="center"/>
    </xf>
    <xf numFmtId="0" fontId="1" fillId="0" borderId="0" xfId="890" applyFont="1" applyAlignment="1">
      <alignment horizontal="right" vertical="center"/>
    </xf>
    <xf numFmtId="0" fontId="40" fillId="0" borderId="0" xfId="890" applyFont="1" applyAlignment="1">
      <alignment vertical="center"/>
    </xf>
    <xf numFmtId="0" fontId="40" fillId="0" borderId="0" xfId="890" applyFont="1" applyAlignment="1">
      <alignment horizontal="right" vertical="center"/>
    </xf>
    <xf numFmtId="0" fontId="1" fillId="0" borderId="0" xfId="890" applyAlignment="1">
      <alignment vertical="center"/>
    </xf>
    <xf numFmtId="0" fontId="1" fillId="0" borderId="19" xfId="745" applyFont="1" applyFill="1" applyBorder="1" applyAlignment="1">
      <alignment horizontal="right" vertical="center"/>
    </xf>
    <xf numFmtId="0" fontId="1" fillId="0" borderId="19" xfId="745" applyFont="1" applyFill="1" applyBorder="1" applyAlignment="1">
      <alignment horizontal="center" vertical="center"/>
    </xf>
    <xf numFmtId="0" fontId="1" fillId="0" borderId="0" xfId="745" applyFill="1" applyAlignment="1">
      <alignment vertical="center"/>
    </xf>
    <xf numFmtId="0" fontId="59" fillId="0" borderId="0" xfId="745" applyFont="1" applyFill="1" applyAlignment="1">
      <alignment vertical="center"/>
    </xf>
    <xf numFmtId="0" fontId="59" fillId="0" borderId="0" xfId="745" applyFont="1" applyAlignment="1">
      <alignment vertical="center"/>
    </xf>
    <xf numFmtId="0" fontId="11" fillId="20" borderId="0" xfId="0" applyFont="1" applyFill="1" applyAlignment="1">
      <alignment horizontal="center" vertical="center" wrapText="1"/>
    </xf>
    <xf numFmtId="0" fontId="40" fillId="0" borderId="0" xfId="590" applyFont="1" applyAlignment="1">
      <alignment horizontal="left" vertical="top" wrapText="1"/>
    </xf>
    <xf numFmtId="195" fontId="14" fillId="0" borderId="0" xfId="745" applyNumberFormat="1" applyFont="1" applyFill="1" applyBorder="1" applyAlignment="1" applyProtection="1">
      <alignment horizontal="right" vertical="center"/>
    </xf>
    <xf numFmtId="194" fontId="14" fillId="0" borderId="0" xfId="745" applyNumberFormat="1" applyFont="1" applyFill="1" applyBorder="1" applyAlignment="1" applyProtection="1">
      <alignment horizontal="right" vertical="center"/>
    </xf>
    <xf numFmtId="0" fontId="14" fillId="0" borderId="0" xfId="745" applyFont="1" applyFill="1" applyBorder="1" applyAlignment="1" applyProtection="1">
      <alignment horizontal="center" vertical="center"/>
    </xf>
    <xf numFmtId="0" fontId="14" fillId="0" borderId="20" xfId="745" applyFont="1" applyFill="1" applyBorder="1" applyAlignment="1" applyProtection="1">
      <alignment horizontal="center" vertical="center"/>
    </xf>
    <xf numFmtId="0" fontId="14" fillId="0" borderId="0" xfId="890" applyNumberFormat="1" applyFont="1" applyFill="1" applyBorder="1" applyAlignment="1" applyProtection="1">
      <alignment vertical="center"/>
    </xf>
    <xf numFmtId="0" fontId="59" fillId="0" borderId="20" xfId="890" applyFont="1" applyBorder="1" applyAlignment="1" applyProtection="1">
      <alignment vertical="center"/>
    </xf>
    <xf numFmtId="0" fontId="59" fillId="0" borderId="0" xfId="890" applyFont="1" applyBorder="1" applyAlignment="1" applyProtection="1">
      <alignment vertical="center"/>
    </xf>
    <xf numFmtId="0" fontId="59" fillId="0" borderId="0" xfId="890" applyFont="1" applyBorder="1" applyAlignment="1" applyProtection="1">
      <alignment horizontal="right" vertical="center"/>
    </xf>
    <xf numFmtId="1" fontId="60" fillId="20" borderId="0" xfId="890" applyNumberFormat="1" applyFont="1" applyFill="1" applyBorder="1" applyAlignment="1" applyProtection="1">
      <alignment horizontal="right" vertical="center"/>
    </xf>
    <xf numFmtId="3" fontId="60" fillId="20" borderId="0" xfId="890" applyNumberFormat="1" applyFont="1" applyFill="1" applyBorder="1" applyAlignment="1" applyProtection="1">
      <alignment vertical="center"/>
    </xf>
    <xf numFmtId="0" fontId="59" fillId="0" borderId="0" xfId="890" applyFont="1" applyFill="1" applyBorder="1" applyAlignment="1" applyProtection="1">
      <alignment vertical="center"/>
    </xf>
    <xf numFmtId="0" fontId="60" fillId="20" borderId="0" xfId="890" applyFont="1" applyFill="1" applyBorder="1" applyAlignment="1" applyProtection="1">
      <alignment horizontal="right" vertical="center"/>
    </xf>
    <xf numFmtId="4" fontId="60" fillId="20" borderId="0" xfId="890" applyNumberFormat="1" applyFont="1" applyFill="1" applyBorder="1" applyAlignment="1" applyProtection="1">
      <alignment horizontal="right" vertical="center"/>
    </xf>
    <xf numFmtId="1" fontId="60" fillId="20" borderId="0" xfId="890" applyNumberFormat="1" applyFont="1" applyFill="1" applyBorder="1" applyAlignment="1" applyProtection="1">
      <alignment vertical="center"/>
    </xf>
    <xf numFmtId="0" fontId="60" fillId="20" borderId="0" xfId="890" applyFont="1" applyFill="1" applyBorder="1" applyAlignment="1" applyProtection="1">
      <alignment horizontal="left" vertical="center"/>
    </xf>
    <xf numFmtId="0" fontId="40" fillId="0" borderId="0" xfId="745" applyFont="1" applyAlignment="1">
      <alignment horizontal="left" vertical="top" wrapText="1"/>
    </xf>
    <xf numFmtId="0" fontId="1" fillId="0" borderId="21" xfId="890" applyBorder="1" applyAlignment="1">
      <alignment vertical="center"/>
    </xf>
    <xf numFmtId="197" fontId="14" fillId="0" borderId="20" xfId="890" applyNumberFormat="1" applyFont="1" applyFill="1" applyBorder="1" applyAlignment="1" applyProtection="1">
      <alignment vertical="center"/>
    </xf>
    <xf numFmtId="197" fontId="2" fillId="0" borderId="22" xfId="890" applyNumberFormat="1" applyFont="1" applyBorder="1" applyAlignment="1">
      <alignment vertical="center"/>
    </xf>
    <xf numFmtId="200" fontId="13" fillId="21" borderId="16" xfId="0" applyNumberFormat="1" applyFont="1" applyFill="1" applyBorder="1" applyAlignment="1">
      <alignment vertical="center"/>
    </xf>
    <xf numFmtId="0" fontId="29" fillId="0" borderId="0" xfId="0" applyFont="1" applyAlignment="1" applyProtection="1">
      <alignment vertical="center"/>
    </xf>
    <xf numFmtId="0" fontId="30" fillId="0" borderId="0" xfId="0" applyFont="1" applyAlignment="1" applyProtection="1">
      <alignment vertical="center"/>
    </xf>
    <xf numFmtId="165" fontId="11" fillId="20" borderId="0" xfId="0" applyNumberFormat="1" applyFont="1" applyFill="1" applyAlignment="1" applyProtection="1">
      <alignment horizontal="center" vertical="center" wrapText="1"/>
    </xf>
    <xf numFmtId="166" fontId="11" fillId="20" borderId="0" xfId="0" applyNumberFormat="1" applyFont="1" applyFill="1" applyAlignment="1" applyProtection="1">
      <alignment horizontal="center" vertical="center" wrapText="1"/>
    </xf>
    <xf numFmtId="166" fontId="22" fillId="20" borderId="0" xfId="0" applyNumberFormat="1" applyFont="1" applyFill="1" applyAlignment="1" applyProtection="1">
      <alignment horizontal="center" vertical="center" wrapText="1"/>
    </xf>
    <xf numFmtId="0" fontId="9" fillId="0" borderId="0" xfId="0" applyFont="1" applyAlignment="1" applyProtection="1">
      <alignment horizontal="center" vertical="center" wrapText="1"/>
    </xf>
    <xf numFmtId="0" fontId="9" fillId="23" borderId="0" xfId="0" applyFont="1" applyFill="1" applyAlignment="1" applyProtection="1">
      <alignment horizontal="right" vertical="center"/>
    </xf>
    <xf numFmtId="165" fontId="9" fillId="23" borderId="0" xfId="0" applyNumberFormat="1" applyFont="1" applyFill="1" applyAlignment="1" applyProtection="1">
      <alignment horizontal="right" vertical="center"/>
    </xf>
    <xf numFmtId="1" fontId="9" fillId="23" borderId="0" xfId="0" applyNumberFormat="1" applyFont="1" applyFill="1" applyAlignment="1" applyProtection="1">
      <alignment horizontal="right" vertical="center"/>
    </xf>
    <xf numFmtId="9" fontId="9" fillId="23" borderId="0" xfId="1142" applyFont="1" applyFill="1" applyAlignment="1" applyProtection="1">
      <alignment horizontal="right" vertical="center"/>
    </xf>
    <xf numFmtId="3" fontId="23" fillId="23" borderId="0" xfId="1142" applyNumberFormat="1" applyFont="1" applyFill="1" applyAlignment="1" applyProtection="1">
      <alignment horizontal="center" vertical="center"/>
    </xf>
    <xf numFmtId="171" fontId="9" fillId="23" borderId="0" xfId="1142" applyNumberFormat="1" applyFont="1" applyFill="1" applyAlignment="1" applyProtection="1">
      <alignment horizontal="center" vertical="center"/>
    </xf>
    <xf numFmtId="171" fontId="23" fillId="23" borderId="0" xfId="1142" applyNumberFormat="1" applyFont="1" applyFill="1" applyAlignment="1" applyProtection="1">
      <alignment horizontal="center" vertical="center"/>
    </xf>
    <xf numFmtId="176" fontId="23" fillId="23" borderId="0" xfId="1142" applyNumberFormat="1" applyFont="1" applyFill="1" applyAlignment="1" applyProtection="1">
      <alignment horizontal="center" vertical="center"/>
    </xf>
    <xf numFmtId="0" fontId="9" fillId="0" borderId="0" xfId="0" applyFont="1" applyAlignment="1" applyProtection="1">
      <alignment vertical="center"/>
    </xf>
    <xf numFmtId="178" fontId="9" fillId="23" borderId="0" xfId="0" applyNumberFormat="1" applyFont="1" applyFill="1" applyAlignment="1" applyProtection="1">
      <alignment horizontal="right" vertical="center"/>
    </xf>
    <xf numFmtId="0" fontId="0" fillId="0" borderId="0" xfId="0" applyAlignment="1" applyProtection="1">
      <alignment vertical="center"/>
    </xf>
    <xf numFmtId="9" fontId="9" fillId="23" borderId="0" xfId="1142" applyFont="1" applyFill="1" applyAlignment="1" applyProtection="1">
      <alignment horizontal="center" vertical="center"/>
    </xf>
    <xf numFmtId="0" fontId="9" fillId="23" borderId="0" xfId="0" applyFont="1" applyFill="1" applyAlignment="1" applyProtection="1">
      <alignment horizontal="center" vertical="center"/>
    </xf>
    <xf numFmtId="165" fontId="9" fillId="23" borderId="0" xfId="0" applyNumberFormat="1" applyFont="1" applyFill="1" applyAlignment="1" applyProtection="1">
      <alignment horizontal="center" vertical="center"/>
    </xf>
    <xf numFmtId="0" fontId="3" fillId="0" borderId="0" xfId="0" applyFont="1" applyAlignment="1" applyProtection="1">
      <alignment vertical="center"/>
    </xf>
    <xf numFmtId="165" fontId="0" fillId="0" borderId="0" xfId="0" applyNumberFormat="1" applyAlignment="1" applyProtection="1">
      <alignment vertical="center"/>
    </xf>
    <xf numFmtId="166" fontId="0" fillId="0" borderId="0" xfId="0" applyNumberFormat="1" applyAlignment="1" applyProtection="1">
      <alignment vertical="center"/>
    </xf>
    <xf numFmtId="0" fontId="1" fillId="0" borderId="9" xfId="0" applyFont="1" applyBorder="1" applyAlignment="1" applyProtection="1">
      <alignment horizontal="center" vertical="center"/>
    </xf>
    <xf numFmtId="0" fontId="17" fillId="20" borderId="0" xfId="0" applyFont="1" applyFill="1" applyAlignment="1" applyProtection="1">
      <alignment horizontal="right" vertical="center"/>
    </xf>
    <xf numFmtId="0" fontId="9" fillId="23" borderId="0" xfId="0" applyFont="1" applyFill="1" applyAlignment="1" applyProtection="1">
      <alignment horizontal="left" vertical="center"/>
    </xf>
    <xf numFmtId="0" fontId="3" fillId="20" borderId="0" xfId="0" applyFont="1" applyFill="1" applyAlignment="1" applyProtection="1">
      <alignment vertical="center"/>
    </xf>
    <xf numFmtId="0" fontId="2" fillId="0" borderId="0" xfId="0" applyFont="1" applyAlignment="1" applyProtection="1">
      <alignment vertical="center"/>
    </xf>
    <xf numFmtId="0" fontId="0" fillId="0" borderId="9" xfId="0" applyBorder="1" applyAlignment="1" applyProtection="1">
      <alignment horizontal="center" vertical="center"/>
    </xf>
    <xf numFmtId="166" fontId="1" fillId="0" borderId="0" xfId="0" applyNumberFormat="1" applyFont="1" applyAlignment="1" applyProtection="1">
      <alignment vertical="center"/>
    </xf>
    <xf numFmtId="167" fontId="13" fillId="18" borderId="23" xfId="1589" applyNumberFormat="1" applyFont="1" applyFill="1" applyBorder="1" applyAlignment="1" applyProtection="1">
      <alignment horizontal="center" vertical="center"/>
    </xf>
    <xf numFmtId="0" fontId="1" fillId="0" borderId="0" xfId="0" applyFont="1" applyAlignment="1" applyProtection="1">
      <alignment vertical="center"/>
    </xf>
    <xf numFmtId="167" fontId="13" fillId="18" borderId="24" xfId="1589" applyNumberFormat="1" applyFont="1" applyBorder="1" applyAlignment="1" applyProtection="1">
      <alignment horizontal="center" vertical="center"/>
    </xf>
    <xf numFmtId="0" fontId="11" fillId="0" borderId="0" xfId="0" applyFont="1" applyFill="1" applyAlignment="1" applyProtection="1">
      <alignment vertical="center" wrapText="1"/>
    </xf>
    <xf numFmtId="0" fontId="9" fillId="0" borderId="0" xfId="0" applyFont="1" applyFill="1" applyAlignment="1" applyProtection="1">
      <alignment horizontal="left" vertical="center"/>
    </xf>
    <xf numFmtId="0" fontId="0" fillId="0" borderId="25" xfId="0" applyBorder="1" applyAlignment="1" applyProtection="1">
      <alignment horizontal="center" vertical="center"/>
    </xf>
    <xf numFmtId="0" fontId="0" fillId="0" borderId="9" xfId="0" applyBorder="1" applyAlignment="1" applyProtection="1">
      <alignment vertical="center"/>
    </xf>
    <xf numFmtId="3" fontId="5" fillId="0" borderId="0" xfId="580" applyNumberFormat="1" applyFont="1" applyFill="1" applyAlignment="1" applyProtection="1">
      <alignment horizontal="left" vertical="center"/>
    </xf>
    <xf numFmtId="166" fontId="9" fillId="0" borderId="0" xfId="0" applyNumberFormat="1" applyFont="1" applyAlignment="1" applyProtection="1">
      <alignment horizontal="left" vertical="center"/>
    </xf>
    <xf numFmtId="187" fontId="13" fillId="18" borderId="26" xfId="0" applyNumberFormat="1" applyFont="1" applyFill="1" applyBorder="1" applyAlignment="1">
      <alignment horizontal="center" vertical="center"/>
    </xf>
    <xf numFmtId="186" fontId="13" fillId="18" borderId="26" xfId="0" applyNumberFormat="1" applyFont="1" applyFill="1" applyBorder="1" applyAlignment="1">
      <alignment horizontal="center" vertical="center"/>
    </xf>
    <xf numFmtId="185" fontId="13" fillId="18" borderId="26" xfId="0" applyNumberFormat="1" applyFont="1" applyFill="1" applyBorder="1" applyAlignment="1">
      <alignment horizontal="center" vertical="center"/>
    </xf>
    <xf numFmtId="174" fontId="20" fillId="0" borderId="25" xfId="0" applyNumberFormat="1" applyFont="1" applyFill="1" applyBorder="1" applyAlignment="1">
      <alignment horizontal="center" vertical="center"/>
    </xf>
    <xf numFmtId="0" fontId="19" fillId="0" borderId="0" xfId="0" applyFont="1" applyFill="1" applyBorder="1" applyAlignment="1">
      <alignment horizontal="center" vertical="center"/>
    </xf>
    <xf numFmtId="1" fontId="20" fillId="19" borderId="25" xfId="1589" applyNumberFormat="1" applyFont="1" applyFill="1" applyBorder="1" applyAlignment="1">
      <alignment horizontal="center" vertical="center"/>
      <protection locked="0"/>
    </xf>
    <xf numFmtId="167" fontId="9" fillId="20" borderId="0" xfId="0" applyNumberFormat="1" applyFont="1" applyFill="1" applyAlignment="1">
      <alignment horizontal="center" vertical="center" wrapText="1"/>
    </xf>
    <xf numFmtId="0" fontId="9" fillId="0" borderId="0" xfId="0" applyFont="1" applyFill="1" applyAlignment="1">
      <alignment vertical="center"/>
    </xf>
    <xf numFmtId="0" fontId="0" fillId="0" borderId="9" xfId="0" applyBorder="1" applyAlignment="1">
      <alignment vertical="center"/>
    </xf>
    <xf numFmtId="167" fontId="11" fillId="20" borderId="9" xfId="0" applyNumberFormat="1" applyFont="1" applyFill="1" applyBorder="1" applyAlignment="1">
      <alignment horizontal="center" vertical="center" wrapText="1"/>
    </xf>
    <xf numFmtId="0" fontId="5" fillId="0" borderId="9" xfId="0" applyFont="1" applyBorder="1" applyAlignment="1">
      <alignment horizontal="left" vertical="center"/>
    </xf>
    <xf numFmtId="167" fontId="11" fillId="0" borderId="9" xfId="0" applyNumberFormat="1" applyFont="1" applyFill="1" applyBorder="1" applyAlignment="1">
      <alignment horizontal="center" vertical="center" wrapText="1"/>
    </xf>
    <xf numFmtId="167" fontId="11" fillId="0" borderId="14" xfId="0" applyNumberFormat="1" applyFont="1" applyFill="1" applyBorder="1" applyAlignment="1">
      <alignment horizontal="center" vertical="center" wrapText="1"/>
    </xf>
    <xf numFmtId="172" fontId="5" fillId="0" borderId="9" xfId="0" applyNumberFormat="1" applyFont="1" applyBorder="1" applyAlignment="1">
      <alignment horizontal="left" vertical="center"/>
    </xf>
    <xf numFmtId="1" fontId="5" fillId="0" borderId="14" xfId="0" applyNumberFormat="1" applyFont="1" applyBorder="1" applyAlignment="1">
      <alignment horizontal="center" vertical="center"/>
    </xf>
    <xf numFmtId="1" fontId="11" fillId="0" borderId="14" xfId="0" applyNumberFormat="1" applyFont="1" applyFill="1" applyBorder="1" applyAlignment="1">
      <alignment horizontal="center" vertical="center" wrapText="1"/>
    </xf>
    <xf numFmtId="0" fontId="0" fillId="0" borderId="0" xfId="0" applyAlignment="1">
      <alignment horizontal="center" vertical="center"/>
    </xf>
    <xf numFmtId="167" fontId="9" fillId="20" borderId="27" xfId="0" applyNumberFormat="1" applyFont="1" applyFill="1" applyBorder="1" applyAlignment="1">
      <alignment horizontal="center" vertical="center" wrapText="1"/>
    </xf>
    <xf numFmtId="167" fontId="11" fillId="20" borderId="28" xfId="0" applyNumberFormat="1" applyFont="1" applyFill="1" applyBorder="1" applyAlignment="1">
      <alignment horizontal="center" vertical="center" wrapText="1"/>
    </xf>
    <xf numFmtId="167" fontId="9" fillId="20" borderId="28" xfId="0" applyNumberFormat="1" applyFont="1" applyFill="1" applyBorder="1" applyAlignment="1">
      <alignment horizontal="center" vertical="center" wrapText="1"/>
    </xf>
    <xf numFmtId="167" fontId="11" fillId="20" borderId="29" xfId="0" applyNumberFormat="1" applyFont="1" applyFill="1" applyBorder="1" applyAlignment="1">
      <alignment horizontal="center" vertical="center" wrapText="1"/>
    </xf>
    <xf numFmtId="0" fontId="5" fillId="0" borderId="20" xfId="0" applyFont="1" applyBorder="1" applyAlignment="1">
      <alignment horizontal="center" vertical="center"/>
    </xf>
    <xf numFmtId="2" fontId="5" fillId="0" borderId="0" xfId="0" applyNumberFormat="1" applyFont="1" applyBorder="1" applyAlignment="1">
      <alignment horizontal="center" vertical="center"/>
    </xf>
    <xf numFmtId="0" fontId="5" fillId="0" borderId="19" xfId="0" applyFont="1" applyBorder="1" applyAlignment="1">
      <alignment horizontal="center" vertical="center"/>
    </xf>
    <xf numFmtId="167" fontId="11" fillId="20" borderId="0" xfId="0" applyNumberFormat="1" applyFont="1" applyFill="1" applyBorder="1" applyAlignment="1">
      <alignment horizontal="center" vertical="center" wrapText="1"/>
    </xf>
    <xf numFmtId="167" fontId="9" fillId="20" borderId="20" xfId="0" applyNumberFormat="1" applyFont="1" applyFill="1" applyBorder="1" applyAlignment="1">
      <alignment horizontal="center" vertical="center" wrapText="1"/>
    </xf>
    <xf numFmtId="167" fontId="9" fillId="20" borderId="0" xfId="0" applyNumberFormat="1" applyFont="1" applyFill="1" applyBorder="1" applyAlignment="1">
      <alignment horizontal="center" vertical="center" wrapText="1"/>
    </xf>
    <xf numFmtId="167" fontId="11" fillId="20" borderId="19" xfId="0" applyNumberFormat="1" applyFont="1" applyFill="1" applyBorder="1" applyAlignment="1">
      <alignment horizontal="center" vertical="center" wrapText="1"/>
    </xf>
    <xf numFmtId="0" fontId="0" fillId="0" borderId="28" xfId="0" applyBorder="1" applyAlignment="1">
      <alignment vertical="center"/>
    </xf>
    <xf numFmtId="0" fontId="0" fillId="0" borderId="0" xfId="0" applyBorder="1" applyAlignment="1">
      <alignment vertical="center"/>
    </xf>
    <xf numFmtId="1" fontId="20" fillId="18" borderId="9" xfId="0" applyNumberFormat="1" applyFont="1" applyFill="1" applyBorder="1" applyAlignment="1">
      <alignment horizontal="center" vertical="center"/>
    </xf>
    <xf numFmtId="1" fontId="20" fillId="0" borderId="9" xfId="0" applyNumberFormat="1" applyFont="1" applyFill="1" applyBorder="1" applyAlignment="1">
      <alignment horizontal="center" vertical="center"/>
    </xf>
    <xf numFmtId="1" fontId="20" fillId="0" borderId="25" xfId="0" applyNumberFormat="1" applyFont="1" applyFill="1" applyBorder="1" applyAlignment="1">
      <alignment horizontal="center" vertical="center"/>
    </xf>
    <xf numFmtId="1" fontId="7" fillId="0" borderId="0" xfId="0" applyNumberFormat="1" applyFont="1" applyAlignment="1">
      <alignment horizontal="right" vertical="center"/>
    </xf>
    <xf numFmtId="0" fontId="9" fillId="20" borderId="0" xfId="0" applyFont="1" applyFill="1" applyAlignment="1">
      <alignment horizontal="center" vertical="center" wrapText="1"/>
    </xf>
    <xf numFmtId="0" fontId="9" fillId="0" borderId="0" xfId="0" applyFont="1" applyAlignment="1">
      <alignment horizontal="center" vertical="center"/>
    </xf>
    <xf numFmtId="177" fontId="20" fillId="27" borderId="9" xfId="0" applyNumberFormat="1" applyFont="1" applyFill="1" applyBorder="1" applyAlignment="1">
      <alignment horizontal="center" vertical="center"/>
    </xf>
    <xf numFmtId="201" fontId="25" fillId="21" borderId="0" xfId="580" applyNumberFormat="1" applyFont="1" applyFill="1" applyBorder="1" applyAlignment="1">
      <alignment horizontal="center" vertical="center"/>
    </xf>
    <xf numFmtId="0" fontId="34" fillId="19" borderId="0" xfId="0" applyFont="1" applyFill="1" applyBorder="1" applyAlignment="1">
      <alignment horizontal="center" vertical="center" wrapText="1"/>
    </xf>
    <xf numFmtId="181" fontId="1" fillId="19" borderId="0" xfId="0" applyNumberFormat="1" applyFont="1" applyFill="1" applyBorder="1" applyAlignment="1">
      <alignment horizontal="center" vertical="center"/>
    </xf>
    <xf numFmtId="0" fontId="17" fillId="26" borderId="0" xfId="0" applyNumberFormat="1" applyFont="1" applyFill="1" applyBorder="1" applyAlignment="1">
      <alignment horizontal="center" vertical="center" wrapText="1"/>
    </xf>
    <xf numFmtId="177" fontId="20" fillId="18" borderId="9" xfId="0" applyNumberFormat="1" applyFont="1" applyFill="1" applyBorder="1" applyAlignment="1">
      <alignment horizontal="center" vertical="center"/>
    </xf>
    <xf numFmtId="175" fontId="20" fillId="18" borderId="9" xfId="0" applyNumberFormat="1" applyFont="1" applyFill="1" applyBorder="1" applyAlignment="1">
      <alignment horizontal="center" vertical="center"/>
    </xf>
    <xf numFmtId="168" fontId="20" fillId="18" borderId="9" xfId="0" applyNumberFormat="1" applyFont="1" applyFill="1" applyBorder="1" applyAlignment="1">
      <alignment horizontal="center" vertical="center"/>
    </xf>
    <xf numFmtId="204" fontId="20" fillId="18" borderId="9" xfId="0" applyNumberFormat="1" applyFont="1" applyFill="1" applyBorder="1" applyAlignment="1">
      <alignment horizontal="center" vertical="center"/>
    </xf>
    <xf numFmtId="201" fontId="13" fillId="18" borderId="15" xfId="0" applyNumberFormat="1" applyFont="1" applyFill="1" applyBorder="1" applyAlignment="1">
      <alignment horizontal="center" vertical="center"/>
    </xf>
    <xf numFmtId="201" fontId="13" fillId="18" borderId="9" xfId="0" applyNumberFormat="1" applyFont="1" applyFill="1" applyBorder="1" applyAlignment="1">
      <alignment horizontal="center" vertical="center"/>
    </xf>
    <xf numFmtId="172" fontId="13" fillId="0" borderId="12" xfId="0" applyNumberFormat="1" applyFont="1" applyFill="1" applyBorder="1" applyAlignment="1">
      <alignment horizontal="center" vertical="center"/>
    </xf>
    <xf numFmtId="172" fontId="13" fillId="18" borderId="9" xfId="580" applyNumberFormat="1" applyFont="1" applyFill="1" applyBorder="1" applyAlignment="1">
      <alignment horizontal="center" vertical="center"/>
    </xf>
    <xf numFmtId="0" fontId="9" fillId="0" borderId="0" xfId="0" applyFont="1" applyFill="1" applyBorder="1" applyAlignment="1">
      <alignment horizontal="center" vertical="center" wrapText="1"/>
    </xf>
    <xf numFmtId="183" fontId="9" fillId="20" borderId="0" xfId="580" applyNumberFormat="1" applyFont="1" applyFill="1" applyAlignment="1">
      <alignment horizontal="center" vertical="center" wrapText="1"/>
    </xf>
    <xf numFmtId="183" fontId="9" fillId="0" borderId="0" xfId="580" applyNumberFormat="1" applyFont="1" applyFill="1" applyBorder="1" applyAlignment="1">
      <alignment horizontal="center" vertical="center" wrapText="1"/>
    </xf>
    <xf numFmtId="180" fontId="9" fillId="20" borderId="0" xfId="0" applyNumberFormat="1" applyFont="1" applyFill="1" applyAlignment="1">
      <alignment horizontal="center" vertical="center" wrapText="1"/>
    </xf>
    <xf numFmtId="0" fontId="9" fillId="20" borderId="0" xfId="0" applyFont="1" applyFill="1" applyBorder="1" applyAlignment="1">
      <alignment horizontal="center" vertical="center" wrapText="1"/>
    </xf>
    <xf numFmtId="183" fontId="9" fillId="0" borderId="0" xfId="580" applyNumberFormat="1" applyFont="1" applyFill="1" applyAlignment="1">
      <alignment horizontal="center" vertical="center" wrapText="1"/>
    </xf>
    <xf numFmtId="0" fontId="27" fillId="0" borderId="0" xfId="0" applyFont="1" applyFill="1" applyBorder="1" applyAlignment="1">
      <alignment horizontal="center" vertical="center" textRotation="90" wrapText="1"/>
    </xf>
    <xf numFmtId="180" fontId="9" fillId="0" borderId="0" xfId="0" applyNumberFormat="1" applyFont="1" applyFill="1" applyAlignment="1">
      <alignment horizontal="center" vertical="center" wrapText="1"/>
    </xf>
    <xf numFmtId="183" fontId="9" fillId="0" borderId="0" xfId="0" applyNumberFormat="1" applyFont="1" applyFill="1" applyBorder="1" applyAlignment="1">
      <alignment horizontal="center" vertical="center" wrapText="1"/>
    </xf>
    <xf numFmtId="180" fontId="24" fillId="0" borderId="0" xfId="0" applyNumberFormat="1" applyFont="1" applyFill="1" applyBorder="1" applyAlignment="1">
      <alignment horizontal="center" vertical="center" wrapText="1"/>
    </xf>
    <xf numFmtId="1" fontId="0" fillId="0" borderId="0" xfId="0" applyNumberFormat="1" applyAlignment="1">
      <alignment vertical="center"/>
    </xf>
    <xf numFmtId="183" fontId="0" fillId="0" borderId="0" xfId="0" applyNumberFormat="1" applyAlignment="1">
      <alignment vertical="center"/>
    </xf>
    <xf numFmtId="183" fontId="0" fillId="0" borderId="0" xfId="0" applyNumberFormat="1" applyFill="1" applyBorder="1" applyAlignment="1">
      <alignment vertical="center"/>
    </xf>
    <xf numFmtId="180" fontId="0" fillId="0" borderId="0" xfId="0" applyNumberFormat="1" applyAlignment="1">
      <alignment vertical="center"/>
    </xf>
    <xf numFmtId="0" fontId="0" fillId="0" borderId="28" xfId="0" applyBorder="1" applyAlignment="1">
      <alignment horizontal="center" vertical="center"/>
    </xf>
    <xf numFmtId="0" fontId="0" fillId="0" borderId="0" xfId="0" applyBorder="1" applyAlignment="1">
      <alignment horizontal="center" vertical="center"/>
    </xf>
    <xf numFmtId="205" fontId="13" fillId="18" borderId="9" xfId="580" applyNumberFormat="1" applyFont="1" applyFill="1" applyBorder="1" applyAlignment="1">
      <alignment horizontal="center" vertical="center"/>
    </xf>
    <xf numFmtId="1" fontId="11" fillId="0" borderId="30" xfId="0" applyNumberFormat="1" applyFont="1" applyFill="1" applyBorder="1" applyAlignment="1">
      <alignment horizontal="center" vertical="center" wrapText="1"/>
    </xf>
    <xf numFmtId="0" fontId="14" fillId="0" borderId="0" xfId="890" applyNumberFormat="1" applyFont="1" applyFill="1" applyBorder="1" applyAlignment="1" applyProtection="1">
      <alignment horizontal="center" vertical="center"/>
    </xf>
    <xf numFmtId="167" fontId="11" fillId="0" borderId="30" xfId="0" applyNumberFormat="1" applyFont="1" applyFill="1" applyBorder="1" applyAlignment="1">
      <alignment horizontal="center" vertical="center" wrapText="1"/>
    </xf>
    <xf numFmtId="167" fontId="11" fillId="0" borderId="31" xfId="0" applyNumberFormat="1" applyFont="1" applyFill="1" applyBorder="1" applyAlignment="1">
      <alignment horizontal="center" vertical="center" wrapText="1"/>
    </xf>
    <xf numFmtId="0" fontId="9" fillId="20" borderId="25" xfId="0" applyFont="1" applyFill="1" applyBorder="1" applyAlignment="1">
      <alignment horizontal="center" vertical="center" wrapText="1"/>
    </xf>
    <xf numFmtId="164" fontId="1" fillId="19" borderId="0" xfId="0" applyNumberFormat="1" applyFont="1" applyFill="1" applyAlignment="1">
      <alignment horizontal="center" vertical="center"/>
    </xf>
    <xf numFmtId="182" fontId="7" fillId="19" borderId="0" xfId="0" applyNumberFormat="1" applyFont="1" applyFill="1" applyAlignment="1">
      <alignment horizontal="center" vertical="center"/>
    </xf>
    <xf numFmtId="0" fontId="5" fillId="20" borderId="0" xfId="0" applyFont="1" applyFill="1" applyBorder="1" applyAlignment="1">
      <alignment horizontal="center" vertical="center" wrapText="1"/>
    </xf>
    <xf numFmtId="0" fontId="4" fillId="19" borderId="0" xfId="0" applyFont="1" applyFill="1" applyBorder="1" applyAlignment="1">
      <alignment horizontal="center" vertical="center"/>
    </xf>
    <xf numFmtId="0" fontId="1" fillId="0" borderId="0" xfId="0" applyFont="1" applyFill="1" applyAlignment="1">
      <alignment horizontal="center" vertical="center"/>
    </xf>
    <xf numFmtId="0" fontId="12" fillId="19" borderId="15" xfId="0" applyFont="1" applyFill="1" applyBorder="1" applyAlignment="1">
      <alignment horizontal="center" vertical="center"/>
    </xf>
    <xf numFmtId="0" fontId="5" fillId="19" borderId="0" xfId="0" applyFont="1" applyFill="1" applyAlignment="1">
      <alignment horizontal="center" vertical="center" wrapText="1"/>
    </xf>
    <xf numFmtId="0" fontId="5" fillId="0" borderId="0" xfId="0" applyFont="1" applyFill="1" applyAlignment="1">
      <alignment horizontal="center" vertical="center" wrapText="1"/>
    </xf>
    <xf numFmtId="182" fontId="7" fillId="19" borderId="32" xfId="0" applyNumberFormat="1" applyFont="1" applyFill="1" applyBorder="1" applyAlignment="1">
      <alignment horizontal="center" vertical="center"/>
    </xf>
    <xf numFmtId="181" fontId="1" fillId="19" borderId="32" xfId="0" applyNumberFormat="1" applyFont="1" applyFill="1" applyBorder="1" applyAlignment="1">
      <alignment horizontal="center" vertical="center"/>
    </xf>
    <xf numFmtId="181" fontId="8" fillId="19" borderId="32" xfId="0" applyNumberFormat="1" applyFont="1" applyFill="1" applyBorder="1" applyAlignment="1">
      <alignment horizontal="center" vertical="center" wrapText="1"/>
    </xf>
    <xf numFmtId="181" fontId="8" fillId="19" borderId="0" xfId="0" applyNumberFormat="1" applyFont="1" applyFill="1" applyBorder="1" applyAlignment="1">
      <alignment horizontal="center" vertical="center" wrapText="1"/>
    </xf>
    <xf numFmtId="182" fontId="7" fillId="19" borderId="0" xfId="0" applyNumberFormat="1" applyFont="1" applyFill="1" applyBorder="1" applyAlignment="1">
      <alignment horizontal="center" vertical="center"/>
    </xf>
    <xf numFmtId="181" fontId="1" fillId="19" borderId="0" xfId="0" applyNumberFormat="1" applyFont="1" applyFill="1" applyAlignment="1">
      <alignment horizontal="center" vertical="center"/>
    </xf>
    <xf numFmtId="181" fontId="8" fillId="19" borderId="0" xfId="0" applyNumberFormat="1" applyFont="1" applyFill="1" applyAlignment="1">
      <alignment horizontal="center" vertical="center" wrapText="1"/>
    </xf>
    <xf numFmtId="0" fontId="8" fillId="19" borderId="0" xfId="0" applyNumberFormat="1" applyFont="1" applyFill="1" applyAlignment="1">
      <alignment horizontal="center" vertical="center" wrapText="1"/>
    </xf>
    <xf numFmtId="0" fontId="1" fillId="19" borderId="0" xfId="0" applyNumberFormat="1" applyFont="1" applyFill="1" applyAlignment="1">
      <alignment horizontal="center" vertical="center"/>
    </xf>
    <xf numFmtId="182" fontId="1" fillId="0" borderId="0" xfId="0" applyNumberFormat="1" applyFont="1" applyFill="1" applyAlignment="1">
      <alignment horizontal="center" vertical="center"/>
    </xf>
    <xf numFmtId="181" fontId="1" fillId="0" borderId="0" xfId="0" applyNumberFormat="1" applyFont="1" applyFill="1" applyAlignment="1">
      <alignment horizontal="center" vertical="center"/>
    </xf>
    <xf numFmtId="181" fontId="8" fillId="0" borderId="0" xfId="0" applyNumberFormat="1" applyFont="1" applyFill="1" applyAlignment="1">
      <alignment horizontal="center" vertical="center" wrapText="1"/>
    </xf>
    <xf numFmtId="182" fontId="7" fillId="0" borderId="0" xfId="0" applyNumberFormat="1" applyFont="1" applyAlignment="1">
      <alignment horizontal="center" vertical="center"/>
    </xf>
    <xf numFmtId="181" fontId="1" fillId="0" borderId="0" xfId="0" applyNumberFormat="1" applyFont="1" applyAlignment="1">
      <alignment horizontal="center" vertical="center"/>
    </xf>
    <xf numFmtId="181" fontId="8" fillId="0" borderId="0" xfId="0" applyNumberFormat="1" applyFont="1" applyAlignment="1">
      <alignment horizontal="center" vertical="center" wrapText="1"/>
    </xf>
    <xf numFmtId="1" fontId="13" fillId="19" borderId="0" xfId="1589" applyNumberFormat="1" applyFont="1" applyFill="1" applyBorder="1" applyAlignment="1" applyProtection="1">
      <alignment horizontal="center" vertical="center"/>
    </xf>
    <xf numFmtId="173" fontId="5" fillId="23" borderId="11" xfId="0" applyNumberFormat="1" applyFont="1" applyFill="1" applyBorder="1" applyAlignment="1">
      <alignment horizontal="distributed" vertical="center"/>
    </xf>
    <xf numFmtId="0" fontId="0" fillId="23" borderId="11" xfId="0" applyFont="1" applyFill="1" applyBorder="1" applyAlignment="1">
      <alignment horizontal="center" vertical="center"/>
    </xf>
    <xf numFmtId="199" fontId="62" fillId="23" borderId="0" xfId="0" applyNumberFormat="1" applyFont="1" applyFill="1" applyBorder="1" applyAlignment="1">
      <alignment horizontal="center" vertical="center"/>
    </xf>
    <xf numFmtId="0" fontId="63" fillId="23" borderId="11" xfId="0" applyFont="1" applyFill="1" applyBorder="1" applyAlignment="1">
      <alignment horizontal="center" vertical="center"/>
    </xf>
    <xf numFmtId="0" fontId="63" fillId="23" borderId="0" xfId="0" applyFont="1" applyFill="1" applyBorder="1" applyAlignment="1">
      <alignment horizontal="center" vertical="center"/>
    </xf>
    <xf numFmtId="0" fontId="0" fillId="23" borderId="0" xfId="0" applyFont="1" applyFill="1" applyBorder="1" applyAlignment="1">
      <alignment horizontal="right" vertical="center"/>
    </xf>
    <xf numFmtId="185" fontId="62" fillId="23" borderId="0" xfId="0" applyNumberFormat="1" applyFont="1" applyFill="1" applyBorder="1" applyAlignment="1">
      <alignment horizontal="center" vertical="center"/>
    </xf>
    <xf numFmtId="189" fontId="62" fillId="23" borderId="0" xfId="0" applyNumberFormat="1" applyFont="1" applyFill="1" applyBorder="1" applyAlignment="1">
      <alignment horizontal="center" vertical="center"/>
    </xf>
    <xf numFmtId="184" fontId="62" fillId="23" borderId="0" xfId="0" applyNumberFormat="1" applyFont="1" applyFill="1" applyBorder="1" applyAlignment="1">
      <alignment vertical="center"/>
    </xf>
    <xf numFmtId="0" fontId="62" fillId="23" borderId="0" xfId="0" applyFont="1" applyFill="1" applyBorder="1" applyAlignment="1">
      <alignment horizontal="center" vertical="center"/>
    </xf>
    <xf numFmtId="0" fontId="41" fillId="22" borderId="0" xfId="0" applyFont="1" applyFill="1" applyBorder="1" applyAlignment="1">
      <alignment vertical="center"/>
    </xf>
    <xf numFmtId="0" fontId="1" fillId="0" borderId="0" xfId="745" applyAlignment="1">
      <alignment vertical="center"/>
    </xf>
    <xf numFmtId="0" fontId="2" fillId="20" borderId="20" xfId="890" applyFont="1" applyFill="1" applyBorder="1" applyAlignment="1" applyProtection="1">
      <alignment horizontal="center" vertical="center" wrapText="1"/>
    </xf>
    <xf numFmtId="0" fontId="2" fillId="20" borderId="0" xfId="890" applyFont="1" applyFill="1" applyBorder="1" applyAlignment="1" applyProtection="1">
      <alignment horizontal="center" vertical="center" wrapText="1"/>
    </xf>
    <xf numFmtId="0" fontId="2" fillId="0" borderId="21" xfId="890" applyFont="1" applyBorder="1" applyAlignment="1">
      <alignment horizontal="center" vertical="center"/>
    </xf>
    <xf numFmtId="1" fontId="1" fillId="0" borderId="0" xfId="745" applyNumberFormat="1" applyAlignment="1">
      <alignment vertical="center"/>
    </xf>
    <xf numFmtId="0" fontId="4" fillId="21" borderId="27" xfId="890" applyFont="1" applyFill="1" applyBorder="1" applyAlignment="1" applyProtection="1">
      <alignment vertical="center"/>
    </xf>
    <xf numFmtId="0" fontId="4" fillId="21" borderId="28" xfId="890" applyFont="1" applyFill="1" applyBorder="1" applyAlignment="1" applyProtection="1">
      <alignment vertical="center"/>
    </xf>
    <xf numFmtId="0" fontId="4" fillId="21" borderId="20" xfId="890" applyFont="1" applyFill="1" applyBorder="1" applyAlignment="1" applyProtection="1">
      <alignment vertical="center"/>
    </xf>
    <xf numFmtId="0" fontId="4" fillId="21" borderId="0" xfId="890" applyFont="1" applyFill="1" applyBorder="1" applyAlignment="1" applyProtection="1">
      <alignment vertical="center"/>
    </xf>
    <xf numFmtId="0" fontId="4" fillId="0" borderId="20" xfId="890" applyFont="1" applyFill="1" applyBorder="1" applyAlignment="1" applyProtection="1">
      <alignment vertical="center"/>
    </xf>
    <xf numFmtId="0" fontId="59" fillId="0" borderId="20" xfId="890" applyFont="1" applyFill="1" applyBorder="1" applyAlignment="1" applyProtection="1">
      <alignment vertical="center"/>
    </xf>
    <xf numFmtId="0" fontId="2" fillId="0" borderId="20" xfId="890" applyFont="1" applyFill="1" applyBorder="1" applyAlignment="1" applyProtection="1">
      <alignment horizontal="center" vertical="center" wrapText="1"/>
    </xf>
    <xf numFmtId="195" fontId="14" fillId="0" borderId="20" xfId="745" applyNumberFormat="1" applyFont="1" applyFill="1" applyBorder="1" applyAlignment="1" applyProtection="1">
      <alignment horizontal="right" vertical="center"/>
    </xf>
    <xf numFmtId="0" fontId="14" fillId="0" borderId="20" xfId="890" applyNumberFormat="1" applyFont="1" applyFill="1" applyBorder="1" applyAlignment="1" applyProtection="1">
      <alignment vertical="center"/>
    </xf>
    <xf numFmtId="179" fontId="2" fillId="0" borderId="20" xfId="745" applyNumberFormat="1" applyFont="1" applyFill="1" applyBorder="1" applyAlignment="1">
      <alignment horizontal="center" vertical="center"/>
    </xf>
    <xf numFmtId="0" fontId="1" fillId="0" borderId="20" xfId="745" applyFill="1" applyBorder="1" applyAlignment="1">
      <alignment vertical="center"/>
    </xf>
    <xf numFmtId="0" fontId="10" fillId="24" borderId="0" xfId="0" applyFont="1" applyFill="1" applyAlignment="1">
      <alignment horizontal="left" vertical="top" wrapText="1"/>
    </xf>
    <xf numFmtId="168" fontId="17" fillId="26" borderId="13" xfId="0" applyNumberFormat="1" applyFont="1" applyFill="1" applyBorder="1" applyAlignment="1">
      <alignment horizontal="center" vertical="center" wrapText="1"/>
    </xf>
    <xf numFmtId="206" fontId="62" fillId="23" borderId="0" xfId="0" applyNumberFormat="1" applyFont="1" applyFill="1" applyBorder="1" applyAlignment="1">
      <alignment horizontal="center" vertical="center"/>
    </xf>
    <xf numFmtId="193" fontId="14" fillId="0" borderId="0" xfId="890" applyNumberFormat="1" applyFont="1" applyFill="1" applyBorder="1" applyAlignment="1" applyProtection="1">
      <alignment horizontal="center" vertical="center"/>
    </xf>
    <xf numFmtId="196" fontId="14" fillId="0" borderId="0" xfId="890" applyNumberFormat="1" applyFont="1" applyFill="1" applyBorder="1" applyAlignment="1" applyProtection="1">
      <alignment horizontal="center" vertical="center"/>
    </xf>
    <xf numFmtId="198" fontId="2" fillId="0" borderId="21" xfId="890" applyNumberFormat="1" applyFont="1" applyBorder="1" applyAlignment="1">
      <alignment horizontal="center" vertical="center"/>
    </xf>
    <xf numFmtId="3" fontId="60" fillId="20" borderId="0" xfId="890" applyNumberFormat="1" applyFont="1" applyFill="1" applyBorder="1" applyAlignment="1" applyProtection="1">
      <alignment horizontal="right" vertical="center"/>
    </xf>
    <xf numFmtId="0" fontId="34" fillId="19" borderId="0" xfId="0" applyFont="1" applyFill="1" applyAlignment="1">
      <alignment horizontal="center" vertical="center"/>
    </xf>
    <xf numFmtId="0" fontId="9" fillId="20" borderId="25" xfId="0" applyFont="1" applyFill="1" applyBorder="1" applyAlignment="1">
      <alignment vertical="center" wrapText="1"/>
    </xf>
    <xf numFmtId="183" fontId="27" fillId="21" borderId="25" xfId="0" applyNumberFormat="1" applyFont="1" applyFill="1" applyBorder="1" applyAlignment="1">
      <alignment vertical="center" wrapText="1"/>
    </xf>
    <xf numFmtId="0" fontId="9" fillId="0" borderId="0" xfId="0" applyFont="1" applyBorder="1" applyAlignment="1">
      <alignment vertical="center" wrapText="1"/>
    </xf>
    <xf numFmtId="170" fontId="9" fillId="20" borderId="0" xfId="0" applyNumberFormat="1" applyFont="1" applyFill="1" applyAlignment="1">
      <alignment horizontal="center" vertical="center" wrapText="1"/>
    </xf>
    <xf numFmtId="1" fontId="9" fillId="20" borderId="0" xfId="0" applyNumberFormat="1" applyFont="1" applyFill="1" applyAlignment="1">
      <alignment horizontal="center" vertical="center" wrapText="1"/>
    </xf>
    <xf numFmtId="1" fontId="9" fillId="0" borderId="0" xfId="0" applyNumberFormat="1" applyFont="1" applyFill="1" applyAlignment="1">
      <alignment horizontal="center" vertical="center" wrapText="1"/>
    </xf>
    <xf numFmtId="0" fontId="9" fillId="0" borderId="0" xfId="0" applyFont="1" applyFill="1" applyAlignment="1">
      <alignment vertical="center" wrapText="1"/>
    </xf>
    <xf numFmtId="1" fontId="9" fillId="20" borderId="0" xfId="0" applyNumberFormat="1" applyFont="1" applyFill="1" applyAlignment="1">
      <alignment horizontal="center" vertical="center" textRotation="90" wrapText="1"/>
    </xf>
    <xf numFmtId="177" fontId="20" fillId="21" borderId="9" xfId="0" applyNumberFormat="1" applyFont="1" applyFill="1" applyBorder="1" applyAlignment="1">
      <alignment horizontal="center" vertical="center"/>
    </xf>
    <xf numFmtId="0" fontId="9" fillId="20" borderId="0" xfId="0" applyFont="1" applyFill="1" applyAlignment="1">
      <alignment horizontal="center" vertical="center" textRotation="90" wrapText="1"/>
    </xf>
    <xf numFmtId="0" fontId="9" fillId="20" borderId="25" xfId="0" applyFont="1" applyFill="1" applyBorder="1" applyAlignment="1">
      <alignment vertical="center" textRotation="90" wrapText="1"/>
    </xf>
    <xf numFmtId="0" fontId="27" fillId="21" borderId="25" xfId="0" applyFont="1" applyFill="1" applyBorder="1" applyAlignment="1">
      <alignment vertical="center" textRotation="90" wrapText="1"/>
    </xf>
    <xf numFmtId="0" fontId="59" fillId="0" borderId="0" xfId="0" applyFont="1" applyAlignment="1">
      <alignment vertical="center"/>
    </xf>
    <xf numFmtId="0" fontId="28" fillId="0" borderId="0" xfId="0" applyFont="1" applyFill="1" applyBorder="1" applyAlignment="1">
      <alignment horizontal="center" vertical="center"/>
    </xf>
    <xf numFmtId="0" fontId="59" fillId="0" borderId="0" xfId="0" applyFont="1" applyAlignment="1">
      <alignment horizontal="center" vertical="center"/>
    </xf>
    <xf numFmtId="202" fontId="5" fillId="21" borderId="9" xfId="0" applyNumberFormat="1" applyFont="1" applyFill="1" applyBorder="1" applyAlignment="1">
      <alignment vertical="center"/>
    </xf>
    <xf numFmtId="203" fontId="5" fillId="21" borderId="9" xfId="0" applyNumberFormat="1" applyFont="1" applyFill="1" applyBorder="1" applyAlignment="1">
      <alignment horizontal="center" vertical="center"/>
    </xf>
    <xf numFmtId="168" fontId="5" fillId="21" borderId="9" xfId="0" applyNumberFormat="1" applyFont="1" applyFill="1" applyBorder="1" applyAlignment="1">
      <alignment horizontal="center" vertical="center"/>
    </xf>
    <xf numFmtId="185" fontId="5" fillId="21" borderId="9" xfId="0" applyNumberFormat="1" applyFont="1" applyFill="1" applyBorder="1" applyAlignment="1">
      <alignment horizontal="center" vertical="center"/>
    </xf>
    <xf numFmtId="0" fontId="5" fillId="21" borderId="9" xfId="0" applyFont="1" applyFill="1" applyBorder="1" applyAlignment="1">
      <alignment horizontal="center" vertical="center"/>
    </xf>
    <xf numFmtId="1" fontId="5" fillId="21" borderId="14" xfId="0" applyNumberFormat="1" applyFont="1" applyFill="1" applyBorder="1" applyAlignment="1">
      <alignment horizontal="center" vertical="center"/>
    </xf>
    <xf numFmtId="0" fontId="5" fillId="21" borderId="14" xfId="0" applyFont="1" applyFill="1" applyBorder="1" applyAlignment="1">
      <alignment horizontal="center" vertical="center"/>
    </xf>
    <xf numFmtId="0" fontId="5" fillId="21" borderId="31" xfId="0" applyFont="1" applyFill="1" applyBorder="1" applyAlignment="1">
      <alignment horizontal="center" vertical="center"/>
    </xf>
    <xf numFmtId="177" fontId="25" fillId="0" borderId="25" xfId="580" applyNumberFormat="1" applyFont="1" applyFill="1" applyBorder="1" applyAlignment="1">
      <alignment horizontal="center" vertical="center"/>
    </xf>
    <xf numFmtId="175" fontId="9" fillId="20" borderId="0" xfId="0" applyNumberFormat="1" applyFont="1" applyFill="1" applyAlignment="1">
      <alignment horizontal="center" vertical="center" wrapText="1"/>
    </xf>
    <xf numFmtId="175" fontId="9" fillId="0" borderId="0" xfId="0" applyNumberFormat="1" applyFont="1" applyFill="1" applyAlignment="1">
      <alignment horizontal="center" vertical="center" wrapText="1"/>
    </xf>
    <xf numFmtId="175" fontId="20" fillId="0" borderId="9" xfId="0" applyNumberFormat="1" applyFont="1" applyFill="1" applyBorder="1" applyAlignment="1">
      <alignment horizontal="center" vertical="center"/>
    </xf>
    <xf numFmtId="175" fontId="20" fillId="0" borderId="25" xfId="0" applyNumberFormat="1" applyFont="1" applyFill="1" applyBorder="1" applyAlignment="1">
      <alignment horizontal="center" vertical="center"/>
    </xf>
    <xf numFmtId="175" fontId="7" fillId="0" borderId="0" xfId="0" applyNumberFormat="1" applyFont="1" applyAlignment="1">
      <alignment horizontal="right" vertical="center"/>
    </xf>
    <xf numFmtId="175" fontId="0" fillId="0" borderId="0" xfId="0" applyNumberFormat="1" applyAlignment="1">
      <alignment vertical="center"/>
    </xf>
    <xf numFmtId="207" fontId="9" fillId="20" borderId="0" xfId="0" applyNumberFormat="1" applyFont="1" applyFill="1" applyAlignment="1">
      <alignment horizontal="center" vertical="center" wrapText="1"/>
    </xf>
    <xf numFmtId="207" fontId="9" fillId="0" borderId="0" xfId="0" applyNumberFormat="1" applyFont="1" applyFill="1" applyAlignment="1">
      <alignment horizontal="center" vertical="center" wrapText="1"/>
    </xf>
    <xf numFmtId="207" fontId="20" fillId="18" borderId="9" xfId="0" applyNumberFormat="1" applyFont="1" applyFill="1" applyBorder="1" applyAlignment="1">
      <alignment horizontal="center" vertical="center"/>
    </xf>
    <xf numFmtId="207" fontId="20" fillId="0" borderId="9" xfId="0" applyNumberFormat="1" applyFont="1" applyFill="1" applyBorder="1" applyAlignment="1">
      <alignment horizontal="center" vertical="center"/>
    </xf>
    <xf numFmtId="207" fontId="20" fillId="0" borderId="25" xfId="0" applyNumberFormat="1" applyFont="1" applyFill="1" applyBorder="1" applyAlignment="1">
      <alignment horizontal="center" vertical="center"/>
    </xf>
    <xf numFmtId="207" fontId="7" fillId="0" borderId="0" xfId="0" applyNumberFormat="1" applyFont="1" applyAlignment="1">
      <alignment horizontal="right" vertical="center"/>
    </xf>
    <xf numFmtId="207" fontId="0" fillId="0" borderId="0" xfId="0" applyNumberFormat="1" applyAlignment="1">
      <alignment vertical="center"/>
    </xf>
    <xf numFmtId="172" fontId="13" fillId="19" borderId="16" xfId="0" applyNumberFormat="1" applyFont="1" applyFill="1" applyBorder="1" applyAlignment="1">
      <alignment horizontal="center" vertical="center"/>
    </xf>
    <xf numFmtId="188" fontId="13" fillId="19" borderId="16" xfId="0" applyNumberFormat="1" applyFont="1" applyFill="1" applyBorder="1" applyAlignment="1">
      <alignment vertical="center"/>
    </xf>
    <xf numFmtId="181" fontId="13" fillId="19" borderId="16" xfId="0" applyNumberFormat="1" applyFont="1" applyFill="1" applyBorder="1" applyAlignment="1">
      <alignment vertical="center"/>
    </xf>
    <xf numFmtId="185" fontId="13" fillId="19" borderId="16" xfId="0" applyNumberFormat="1" applyFont="1" applyFill="1" applyBorder="1" applyAlignment="1">
      <alignment horizontal="center" vertical="center"/>
    </xf>
    <xf numFmtId="9" fontId="13" fillId="19" borderId="16" xfId="1142" applyFont="1" applyFill="1" applyBorder="1" applyAlignment="1">
      <alignment horizontal="center" vertical="center"/>
    </xf>
    <xf numFmtId="189" fontId="13" fillId="19" borderId="14" xfId="0" applyNumberFormat="1" applyFont="1" applyFill="1" applyBorder="1" applyAlignment="1">
      <alignment horizontal="center" vertical="center"/>
    </xf>
    <xf numFmtId="185" fontId="13" fillId="26" borderId="25" xfId="0" applyNumberFormat="1" applyFont="1" applyFill="1" applyBorder="1" applyAlignment="1">
      <alignment horizontal="center" vertical="center"/>
    </xf>
    <xf numFmtId="185" fontId="13" fillId="26" borderId="0" xfId="0" applyNumberFormat="1" applyFont="1" applyFill="1" applyBorder="1" applyAlignment="1">
      <alignment horizontal="center" vertical="center"/>
    </xf>
    <xf numFmtId="185" fontId="13" fillId="19" borderId="14" xfId="0" applyNumberFormat="1" applyFont="1" applyFill="1" applyBorder="1" applyAlignment="1">
      <alignment horizontal="center" vertical="center"/>
    </xf>
    <xf numFmtId="201" fontId="25" fillId="18" borderId="0" xfId="580" applyNumberFormat="1" applyFont="1" applyFill="1" applyBorder="1" applyAlignment="1">
      <alignment horizontal="center" vertical="center"/>
    </xf>
    <xf numFmtId="1" fontId="17" fillId="26" borderId="13" xfId="0" applyNumberFormat="1" applyFont="1" applyFill="1" applyBorder="1" applyAlignment="1">
      <alignment horizontal="center" vertical="center" wrapText="1"/>
    </xf>
    <xf numFmtId="1" fontId="19" fillId="0" borderId="11" xfId="0" applyNumberFormat="1" applyFont="1" applyFill="1" applyBorder="1" applyAlignment="1">
      <alignment horizontal="center" vertical="center"/>
    </xf>
    <xf numFmtId="189" fontId="13" fillId="21" borderId="16" xfId="0" applyNumberFormat="1" applyFont="1" applyFill="1" applyBorder="1" applyAlignment="1">
      <alignment horizontal="center" vertical="center"/>
    </xf>
    <xf numFmtId="185" fontId="13" fillId="18" borderId="14" xfId="0" applyNumberFormat="1" applyFont="1" applyFill="1" applyBorder="1" applyAlignment="1">
      <alignment horizontal="center" vertical="center"/>
    </xf>
    <xf numFmtId="14" fontId="61" fillId="0" borderId="0" xfId="745" applyNumberFormat="1" applyFont="1" applyBorder="1" applyAlignment="1" applyProtection="1">
      <alignment vertical="center"/>
    </xf>
    <xf numFmtId="0" fontId="17" fillId="26" borderId="0" xfId="0" applyNumberFormat="1" applyFont="1" applyFill="1" applyBorder="1" applyAlignment="1">
      <alignment vertical="center" wrapText="1"/>
    </xf>
    <xf numFmtId="0" fontId="1" fillId="18" borderId="0" xfId="0" applyFont="1" applyFill="1" applyBorder="1" applyAlignment="1">
      <alignment horizontal="right" vertical="center"/>
    </xf>
    <xf numFmtId="167" fontId="14" fillId="18" borderId="0" xfId="1589" applyNumberFormat="1" applyFont="1" applyFill="1" applyBorder="1" applyAlignment="1" applyProtection="1">
      <alignment vertical="center"/>
    </xf>
    <xf numFmtId="0" fontId="31" fillId="25" borderId="20" xfId="0" applyFont="1" applyFill="1" applyBorder="1" applyAlignment="1">
      <alignment horizontal="center" vertical="center" wrapText="1"/>
    </xf>
    <xf numFmtId="1" fontId="68" fillId="18" borderId="33" xfId="1589" applyNumberFormat="1" applyFont="1" applyBorder="1" applyAlignment="1" applyProtection="1">
      <alignment horizontal="right" vertical="center"/>
      <protection locked="0"/>
    </xf>
    <xf numFmtId="0" fontId="68" fillId="18" borderId="33" xfId="1589" applyNumberFormat="1" applyFont="1" applyBorder="1" applyAlignment="1" applyProtection="1">
      <alignment horizontal="right" vertical="center"/>
      <protection locked="0"/>
    </xf>
    <xf numFmtId="3" fontId="68" fillId="18" borderId="33" xfId="1589" applyNumberFormat="1" applyFont="1" applyBorder="1" applyAlignment="1" applyProtection="1">
      <alignment horizontal="right" vertical="center"/>
      <protection locked="0"/>
    </xf>
    <xf numFmtId="2" fontId="68" fillId="18" borderId="33" xfId="1589" applyNumberFormat="1" applyFont="1" applyBorder="1" applyAlignment="1" applyProtection="1">
      <alignment horizontal="right" vertical="center"/>
      <protection locked="0"/>
    </xf>
    <xf numFmtId="3" fontId="68" fillId="18" borderId="0" xfId="1589" applyNumberFormat="1" applyFont="1" applyBorder="1" applyAlignment="1" applyProtection="1">
      <alignment horizontal="right" vertical="center"/>
      <protection locked="0"/>
    </xf>
    <xf numFmtId="1" fontId="68" fillId="18" borderId="0" xfId="1142" applyNumberFormat="1" applyFont="1" applyFill="1" applyBorder="1" applyAlignment="1" applyProtection="1">
      <alignment horizontal="right" vertical="center"/>
      <protection locked="0"/>
    </xf>
    <xf numFmtId="1" fontId="17" fillId="28" borderId="9" xfId="0" applyNumberFormat="1" applyFont="1" applyFill="1" applyBorder="1" applyAlignment="1" applyProtection="1">
      <alignment horizontal="center" vertical="center"/>
      <protection locked="0"/>
    </xf>
    <xf numFmtId="0" fontId="60" fillId="20" borderId="0" xfId="890" applyNumberFormat="1" applyFont="1" applyFill="1" applyBorder="1" applyAlignment="1" applyProtection="1">
      <alignment horizontal="center" vertical="center"/>
    </xf>
    <xf numFmtId="0" fontId="14" fillId="18" borderId="0" xfId="1589" applyNumberFormat="1" applyFont="1" applyBorder="1" applyAlignment="1" applyProtection="1">
      <alignment vertical="center"/>
    </xf>
    <xf numFmtId="3" fontId="68" fillId="18" borderId="0" xfId="1589" applyNumberFormat="1" applyFont="1" applyFill="1" applyBorder="1" applyAlignment="1" applyProtection="1">
      <alignment horizontal="right" vertical="center"/>
    </xf>
    <xf numFmtId="14" fontId="60" fillId="20" borderId="0" xfId="890" applyNumberFormat="1" applyFont="1" applyFill="1" applyBorder="1" applyAlignment="1" applyProtection="1">
      <alignment vertical="center"/>
    </xf>
    <xf numFmtId="0" fontId="40" fillId="0" borderId="0" xfId="745" applyFont="1" applyAlignment="1" applyProtection="1">
      <alignment horizontal="left" vertical="top" wrapText="1"/>
      <protection locked="0"/>
    </xf>
    <xf numFmtId="0" fontId="40" fillId="0" borderId="0" xfId="590" applyFont="1" applyAlignment="1" applyProtection="1">
      <alignment horizontal="left" vertical="top" wrapText="1"/>
      <protection locked="0"/>
    </xf>
    <xf numFmtId="0" fontId="40" fillId="0" borderId="0" xfId="745" applyFont="1" applyAlignment="1" applyProtection="1">
      <alignment vertical="top" wrapText="1"/>
      <protection locked="0"/>
    </xf>
    <xf numFmtId="0" fontId="40" fillId="0" borderId="0" xfId="0" applyFont="1" applyAlignment="1" applyProtection="1">
      <alignment horizontal="left" vertical="top" wrapText="1"/>
      <protection locked="0"/>
    </xf>
    <xf numFmtId="0" fontId="40" fillId="0" borderId="0" xfId="590" applyNumberFormat="1" applyFont="1" applyAlignment="1" applyProtection="1">
      <alignment horizontal="left" vertical="top" wrapText="1"/>
      <protection locked="0"/>
    </xf>
    <xf numFmtId="0" fontId="40" fillId="0" borderId="0" xfId="892" applyFont="1" applyAlignment="1" applyProtection="1">
      <alignment horizontal="left" vertical="top" wrapText="1"/>
      <protection locked="0"/>
    </xf>
    <xf numFmtId="0" fontId="40" fillId="0" borderId="0" xfId="0" applyFont="1" applyAlignment="1" applyProtection="1">
      <alignment vertical="top" wrapText="1"/>
      <protection locked="0"/>
    </xf>
    <xf numFmtId="0" fontId="40" fillId="0" borderId="0" xfId="745" applyFont="1" applyFill="1" applyAlignment="1" applyProtection="1">
      <alignment horizontal="left" vertical="top" wrapText="1"/>
      <protection locked="0"/>
    </xf>
    <xf numFmtId="0" fontId="40" fillId="0" borderId="0" xfId="840" applyFont="1" applyAlignment="1" applyProtection="1">
      <alignment horizontal="left" vertical="top" wrapText="1"/>
      <protection locked="0"/>
    </xf>
    <xf numFmtId="0" fontId="40" fillId="0" borderId="0" xfId="598" applyFont="1" applyAlignment="1" applyProtection="1">
      <alignment horizontal="left" vertical="top" wrapText="1"/>
      <protection locked="0"/>
    </xf>
    <xf numFmtId="0" fontId="40" fillId="0" borderId="0" xfId="804" applyFont="1" applyFill="1" applyAlignment="1" applyProtection="1">
      <alignment horizontal="left" vertical="top" wrapText="1"/>
      <protection locked="0"/>
    </xf>
    <xf numFmtId="0" fontId="40" fillId="0" borderId="0" xfId="840" applyNumberFormat="1" applyFont="1" applyAlignment="1" applyProtection="1">
      <alignment horizontal="left" vertical="top" wrapText="1"/>
      <protection locked="0"/>
    </xf>
    <xf numFmtId="0" fontId="40" fillId="0" borderId="0" xfId="840" applyFont="1" applyFill="1" applyAlignment="1" applyProtection="1">
      <alignment horizontal="left" vertical="top" wrapText="1"/>
      <protection locked="0"/>
    </xf>
    <xf numFmtId="191" fontId="2" fillId="29" borderId="34" xfId="1589" applyNumberFormat="1" applyFont="1" applyFill="1" applyBorder="1" applyAlignment="1">
      <alignment horizontal="center" vertical="center"/>
      <protection locked="0"/>
    </xf>
    <xf numFmtId="191" fontId="38" fillId="28" borderId="9" xfId="1589" applyNumberFormat="1" applyFont="1" applyFill="1" applyBorder="1" applyAlignment="1" applyProtection="1">
      <alignment horizontal="right" vertical="center"/>
      <protection locked="0"/>
    </xf>
    <xf numFmtId="191" fontId="62" fillId="28" borderId="34" xfId="1589" applyNumberFormat="1" applyFont="1" applyFill="1" applyBorder="1" applyAlignment="1" applyProtection="1">
      <alignment horizontal="center" vertical="center"/>
      <protection locked="0"/>
    </xf>
    <xf numFmtId="184" fontId="69" fillId="28" borderId="9" xfId="0" applyNumberFormat="1" applyFont="1" applyFill="1" applyBorder="1" applyAlignment="1" applyProtection="1">
      <alignment vertical="center"/>
      <protection locked="0"/>
    </xf>
    <xf numFmtId="184" fontId="62" fillId="28" borderId="34" xfId="0" applyNumberFormat="1" applyFont="1" applyFill="1" applyBorder="1" applyAlignment="1" applyProtection="1">
      <alignment vertical="center"/>
      <protection locked="0"/>
    </xf>
    <xf numFmtId="181" fontId="38" fillId="19" borderId="33" xfId="1589" applyNumberFormat="1" applyFont="1" applyFill="1" applyBorder="1" applyAlignment="1" applyProtection="1">
      <alignment horizontal="center" vertical="center"/>
    </xf>
    <xf numFmtId="191" fontId="62" fillId="28" borderId="34" xfId="1589" applyNumberFormat="1" applyFont="1" applyFill="1" applyBorder="1" applyAlignment="1">
      <alignment horizontal="center" vertical="center"/>
      <protection locked="0"/>
    </xf>
    <xf numFmtId="181" fontId="38" fillId="19" borderId="23" xfId="1589" applyNumberFormat="1" applyFont="1" applyFill="1" applyBorder="1" applyAlignment="1" applyProtection="1">
      <alignment horizontal="center" vertical="center"/>
    </xf>
    <xf numFmtId="181" fontId="62" fillId="20" borderId="0" xfId="0" applyNumberFormat="1" applyFont="1" applyFill="1" applyBorder="1" applyAlignment="1">
      <alignment horizontal="center" vertical="center" wrapText="1"/>
    </xf>
    <xf numFmtId="0" fontId="63" fillId="0" borderId="0" xfId="0" applyFont="1" applyBorder="1" applyAlignment="1">
      <alignment horizontal="center" vertical="center"/>
    </xf>
    <xf numFmtId="0" fontId="70" fillId="20" borderId="0" xfId="0" applyFont="1" applyFill="1" applyBorder="1" applyAlignment="1">
      <alignment horizontal="center" vertical="center"/>
    </xf>
    <xf numFmtId="181" fontId="1" fillId="19" borderId="0" xfId="0" applyNumberFormat="1" applyFont="1" applyFill="1" applyBorder="1" applyAlignment="1">
      <alignment horizontal="center" vertical="center"/>
    </xf>
    <xf numFmtId="0" fontId="1" fillId="32" borderId="0" xfId="0" applyFont="1" applyFill="1" applyAlignment="1">
      <alignment vertical="center"/>
    </xf>
    <xf numFmtId="0" fontId="1" fillId="32" borderId="0" xfId="0" applyFont="1" applyFill="1" applyAlignment="1">
      <alignment horizontal="center" vertical="center"/>
    </xf>
    <xf numFmtId="0" fontId="76" fillId="24" borderId="0" xfId="0" applyFont="1" applyFill="1" applyAlignment="1">
      <alignment vertical="center"/>
    </xf>
    <xf numFmtId="0" fontId="76" fillId="32" borderId="0" xfId="0" applyFont="1" applyFill="1" applyAlignment="1">
      <alignment vertical="center"/>
    </xf>
    <xf numFmtId="0" fontId="77" fillId="0" borderId="0" xfId="0" applyFont="1" applyAlignment="1">
      <alignment vertical="center"/>
    </xf>
    <xf numFmtId="0" fontId="76" fillId="24" borderId="0" xfId="0" applyFont="1" applyFill="1" applyAlignment="1">
      <alignment horizontal="center" vertical="center"/>
    </xf>
    <xf numFmtId="0" fontId="78" fillId="24" borderId="0" xfId="0" applyFont="1" applyFill="1" applyAlignment="1">
      <alignment horizontal="center" vertical="center"/>
    </xf>
    <xf numFmtId="0" fontId="43" fillId="24" borderId="0" xfId="0" applyFont="1" applyFill="1" applyAlignment="1">
      <alignment horizontal="center" vertical="center"/>
    </xf>
    <xf numFmtId="0" fontId="44" fillId="0" borderId="0" xfId="0" applyFont="1" applyFill="1" applyAlignment="1">
      <alignment horizontal="center" vertical="center" wrapText="1"/>
    </xf>
    <xf numFmtId="0" fontId="31" fillId="25" borderId="35" xfId="0" applyNumberFormat="1" applyFont="1" applyFill="1" applyBorder="1" applyAlignment="1">
      <alignment horizontal="left" vertical="center" wrapText="1"/>
    </xf>
    <xf numFmtId="0" fontId="31" fillId="25" borderId="0" xfId="0" applyNumberFormat="1" applyFont="1" applyFill="1" applyBorder="1" applyAlignment="1">
      <alignment horizontal="left" vertical="center" wrapText="1"/>
    </xf>
    <xf numFmtId="0" fontId="31" fillId="25" borderId="35" xfId="0" applyFont="1" applyFill="1" applyBorder="1" applyAlignment="1">
      <alignment horizontal="left" vertical="center" wrapText="1"/>
    </xf>
    <xf numFmtId="0" fontId="31" fillId="25" borderId="0" xfId="0" applyFont="1" applyFill="1" applyBorder="1" applyAlignment="1">
      <alignment horizontal="left" vertical="center" wrapText="1"/>
    </xf>
    <xf numFmtId="0" fontId="37" fillId="24" borderId="0" xfId="0" applyFont="1" applyFill="1" applyAlignment="1">
      <alignment horizontal="left" vertical="center" wrapText="1"/>
    </xf>
    <xf numFmtId="0" fontId="41" fillId="30" borderId="0" xfId="0" applyFont="1" applyFill="1" applyAlignment="1">
      <alignment horizontal="center" vertical="center" wrapText="1"/>
    </xf>
    <xf numFmtId="0" fontId="41" fillId="30" borderId="0" xfId="0" applyFont="1" applyFill="1" applyAlignment="1">
      <alignment horizontal="center" vertical="center"/>
    </xf>
    <xf numFmtId="0" fontId="14" fillId="18" borderId="0" xfId="0" applyFont="1" applyFill="1" applyBorder="1" applyAlignment="1">
      <alignment horizontal="center" vertical="center"/>
    </xf>
    <xf numFmtId="0" fontId="4" fillId="18" borderId="0" xfId="0" applyFont="1" applyFill="1" applyBorder="1" applyAlignment="1">
      <alignment horizontal="right" vertical="center"/>
    </xf>
    <xf numFmtId="0" fontId="38" fillId="19" borderId="0" xfId="0" applyFont="1" applyFill="1" applyAlignment="1">
      <alignment horizontal="center" vertical="center" wrapText="1"/>
    </xf>
    <xf numFmtId="14" fontId="4" fillId="20" borderId="0" xfId="0" applyNumberFormat="1" applyFont="1" applyFill="1" applyBorder="1" applyAlignment="1" applyProtection="1">
      <alignment horizontal="center" vertical="center"/>
      <protection locked="0"/>
    </xf>
    <xf numFmtId="0" fontId="20" fillId="22" borderId="0" xfId="0" applyFont="1" applyFill="1" applyBorder="1" applyAlignment="1">
      <alignment horizontal="left" vertical="center" wrapText="1"/>
    </xf>
    <xf numFmtId="0" fontId="76" fillId="32" borderId="0" xfId="0" applyFont="1" applyFill="1" applyAlignment="1">
      <alignment horizontal="center" vertical="center"/>
    </xf>
    <xf numFmtId="0" fontId="34" fillId="19" borderId="0" xfId="0" applyFont="1" applyFill="1" applyBorder="1" applyAlignment="1">
      <alignment horizontal="center" vertical="center" wrapText="1"/>
    </xf>
    <xf numFmtId="0" fontId="41" fillId="22" borderId="0" xfId="0" applyFont="1" applyFill="1" applyBorder="1" applyAlignment="1">
      <alignment horizontal="center" vertical="center"/>
    </xf>
    <xf numFmtId="0" fontId="35" fillId="22" borderId="0" xfId="0" applyFont="1" applyFill="1" applyBorder="1" applyAlignment="1">
      <alignment horizontal="left" vertical="center" wrapText="1"/>
    </xf>
    <xf numFmtId="3" fontId="1" fillId="19" borderId="0" xfId="0" applyNumberFormat="1" applyFont="1" applyFill="1" applyAlignment="1">
      <alignment horizontal="center" vertical="center"/>
    </xf>
    <xf numFmtId="0" fontId="35" fillId="23" borderId="36" xfId="0" applyFont="1" applyFill="1" applyBorder="1" applyAlignment="1">
      <alignment horizontal="center" vertical="center" wrapText="1"/>
    </xf>
    <xf numFmtId="0" fontId="35" fillId="23" borderId="37" xfId="0" applyFont="1" applyFill="1" applyBorder="1" applyAlignment="1">
      <alignment horizontal="center" vertical="center" wrapText="1"/>
    </xf>
    <xf numFmtId="0" fontId="35" fillId="23" borderId="38" xfId="0" applyFont="1" applyFill="1" applyBorder="1" applyAlignment="1">
      <alignment horizontal="center" vertical="center" wrapText="1"/>
    </xf>
    <xf numFmtId="0" fontId="35" fillId="23" borderId="39" xfId="0" applyFont="1" applyFill="1" applyBorder="1" applyAlignment="1">
      <alignment horizontal="center" vertical="center" wrapText="1"/>
    </xf>
    <xf numFmtId="181" fontId="1" fillId="19" borderId="0" xfId="0" applyNumberFormat="1" applyFont="1" applyFill="1" applyBorder="1" applyAlignment="1">
      <alignment horizontal="center" vertical="center"/>
    </xf>
    <xf numFmtId="0" fontId="35" fillId="23" borderId="0" xfId="0" applyFont="1" applyFill="1" applyBorder="1" applyAlignment="1">
      <alignment horizontal="center" vertical="center" wrapText="1"/>
    </xf>
    <xf numFmtId="0" fontId="64" fillId="0" borderId="0" xfId="0" applyFont="1" applyBorder="1" applyAlignment="1">
      <alignment horizontal="center" vertical="center"/>
    </xf>
    <xf numFmtId="174" fontId="1" fillId="19" borderId="0" xfId="0" applyNumberFormat="1" applyFont="1" applyFill="1" applyAlignment="1">
      <alignment horizontal="center" vertical="center" wrapText="1"/>
    </xf>
    <xf numFmtId="0" fontId="2" fillId="0" borderId="40" xfId="0" applyFont="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4" fillId="0" borderId="40" xfId="0" applyFont="1" applyBorder="1" applyAlignment="1">
      <alignment horizontal="center" vertical="center"/>
    </xf>
    <xf numFmtId="0" fontId="4" fillId="0" borderId="25" xfId="0" applyFont="1" applyBorder="1" applyAlignment="1">
      <alignment horizontal="center" vertical="center"/>
    </xf>
    <xf numFmtId="14" fontId="60" fillId="20" borderId="0" xfId="890" applyNumberFormat="1" applyFont="1" applyFill="1" applyBorder="1" applyAlignment="1" applyProtection="1">
      <alignment horizontal="center" vertical="center"/>
    </xf>
    <xf numFmtId="14" fontId="61" fillId="0" borderId="41" xfId="745" applyNumberFormat="1" applyFont="1" applyBorder="1" applyAlignment="1" applyProtection="1">
      <alignment horizontal="center" vertical="center"/>
    </xf>
    <xf numFmtId="0" fontId="77" fillId="0" borderId="0" xfId="0" applyFont="1" applyAlignment="1">
      <alignment horizontal="center" vertical="center"/>
    </xf>
    <xf numFmtId="0" fontId="11" fillId="20" borderId="0" xfId="0" applyFont="1" applyFill="1" applyAlignment="1" applyProtection="1">
      <alignment horizontal="center" vertical="center" wrapText="1"/>
    </xf>
    <xf numFmtId="0" fontId="28" fillId="30" borderId="15" xfId="0" applyFont="1" applyFill="1" applyBorder="1" applyAlignment="1">
      <alignment horizontal="center" vertical="center"/>
    </xf>
    <xf numFmtId="0" fontId="28" fillId="30" borderId="16" xfId="0" applyFont="1" applyFill="1" applyBorder="1" applyAlignment="1">
      <alignment horizontal="center" vertical="center"/>
    </xf>
    <xf numFmtId="0" fontId="28" fillId="30" borderId="14" xfId="0" applyFont="1" applyFill="1" applyBorder="1" applyAlignment="1">
      <alignment horizontal="center" vertical="center"/>
    </xf>
    <xf numFmtId="0" fontId="65" fillId="0" borderId="0" xfId="0" applyFont="1" applyAlignment="1">
      <alignment horizontal="center" vertical="center"/>
    </xf>
    <xf numFmtId="0" fontId="10" fillId="29" borderId="15" xfId="0" applyFont="1" applyFill="1" applyBorder="1" applyAlignment="1">
      <alignment horizontal="center" vertical="center"/>
    </xf>
    <xf numFmtId="0" fontId="10" fillId="29" borderId="16" xfId="0" applyFont="1" applyFill="1" applyBorder="1" applyAlignment="1">
      <alignment horizontal="center" vertical="center"/>
    </xf>
    <xf numFmtId="0" fontId="10" fillId="29" borderId="14" xfId="0" applyFont="1" applyFill="1" applyBorder="1" applyAlignment="1">
      <alignment horizontal="center" vertical="center"/>
    </xf>
    <xf numFmtId="0" fontId="67" fillId="26" borderId="15" xfId="0" applyFont="1" applyFill="1" applyBorder="1" applyAlignment="1">
      <alignment horizontal="center" vertical="center"/>
    </xf>
    <xf numFmtId="0" fontId="67" fillId="26" borderId="16" xfId="0" applyFont="1" applyFill="1" applyBorder="1" applyAlignment="1">
      <alignment horizontal="center" vertical="center"/>
    </xf>
    <xf numFmtId="0" fontId="67" fillId="26" borderId="14" xfId="0" applyFont="1" applyFill="1" applyBorder="1" applyAlignment="1">
      <alignment horizontal="center" vertical="center"/>
    </xf>
    <xf numFmtId="0" fontId="9" fillId="20" borderId="0" xfId="0" applyFont="1" applyFill="1" applyAlignment="1">
      <alignment horizontal="center" vertical="center" wrapText="1"/>
    </xf>
    <xf numFmtId="180" fontId="28" fillId="30" borderId="15" xfId="0" applyNumberFormat="1" applyFont="1" applyFill="1" applyBorder="1" applyAlignment="1">
      <alignment horizontal="center" vertical="center"/>
    </xf>
    <xf numFmtId="180" fontId="28" fillId="30" borderId="16" xfId="0" applyNumberFormat="1" applyFont="1" applyFill="1" applyBorder="1" applyAlignment="1">
      <alignment horizontal="center" vertical="center"/>
    </xf>
    <xf numFmtId="180" fontId="28" fillId="30" borderId="14" xfId="0" applyNumberFormat="1" applyFont="1" applyFill="1" applyBorder="1" applyAlignment="1">
      <alignment horizontal="center" vertical="center"/>
    </xf>
    <xf numFmtId="0" fontId="66" fillId="31" borderId="15" xfId="0" applyFont="1" applyFill="1" applyBorder="1" applyAlignment="1">
      <alignment horizontal="center" vertical="center"/>
    </xf>
    <xf numFmtId="0" fontId="66" fillId="31" borderId="16" xfId="0" applyFont="1" applyFill="1" applyBorder="1" applyAlignment="1">
      <alignment horizontal="center" vertical="center"/>
    </xf>
    <xf numFmtId="0" fontId="28" fillId="22" borderId="15" xfId="0" applyFont="1" applyFill="1" applyBorder="1" applyAlignment="1">
      <alignment horizontal="center" vertical="center"/>
    </xf>
    <xf numFmtId="0" fontId="28" fillId="22" borderId="16" xfId="0" applyFont="1" applyFill="1" applyBorder="1" applyAlignment="1">
      <alignment horizontal="center" vertical="center"/>
    </xf>
    <xf numFmtId="0" fontId="28" fillId="22" borderId="14" xfId="0" applyFont="1" applyFill="1" applyBorder="1" applyAlignment="1">
      <alignment horizontal="center" vertical="center"/>
    </xf>
  </cellXfs>
  <cellStyles count="1608">
    <cellStyle name="20% - Énfasis1 1" xfId="1"/>
    <cellStyle name="20% - Énfasis1 2" xfId="2"/>
    <cellStyle name="20% - Énfasis1 3" xfId="3"/>
    <cellStyle name="20% - Énfasis2 1" xfId="4"/>
    <cellStyle name="20% - Énfasis2 2" xfId="5"/>
    <cellStyle name="20% - Énfasis2 3" xfId="6"/>
    <cellStyle name="20% - Énfasis3 1" xfId="7"/>
    <cellStyle name="20% - Énfasis3 2" xfId="8"/>
    <cellStyle name="20% - Énfasis3 3" xfId="9"/>
    <cellStyle name="20% - Énfasis4 1" xfId="10"/>
    <cellStyle name="20% - Énfasis4 2" xfId="11"/>
    <cellStyle name="20% - Énfasis4 3" xfId="12"/>
    <cellStyle name="20% - Énfasis5 1" xfId="13"/>
    <cellStyle name="20% - Énfasis5 2" xfId="14"/>
    <cellStyle name="20% - Énfasis5 3" xfId="15"/>
    <cellStyle name="20% - Énfasis6 1" xfId="16"/>
    <cellStyle name="20% - Énfasis6 2" xfId="17"/>
    <cellStyle name="20% - Énfasis6 3" xfId="18"/>
    <cellStyle name="40% - Énfasis1 1" xfId="19"/>
    <cellStyle name="40% - Énfasis1 2" xfId="20"/>
    <cellStyle name="40% - Énfasis1 3" xfId="21"/>
    <cellStyle name="40% - Énfasis2 1" xfId="22"/>
    <cellStyle name="40% - Énfasis2 2" xfId="23"/>
    <cellStyle name="40% - Énfasis2 3" xfId="24"/>
    <cellStyle name="40% - Énfasis3 1" xfId="25"/>
    <cellStyle name="40% - Énfasis3 2" xfId="26"/>
    <cellStyle name="40% - Énfasis3 3" xfId="27"/>
    <cellStyle name="40% - Énfasis4 1" xfId="28"/>
    <cellStyle name="40% - Énfasis4 2" xfId="29"/>
    <cellStyle name="40% - Énfasis4 3" xfId="30"/>
    <cellStyle name="40% - Énfasis5 1" xfId="31"/>
    <cellStyle name="40% - Énfasis5 2" xfId="32"/>
    <cellStyle name="40% - Énfasis5 3" xfId="33"/>
    <cellStyle name="40% - Énfasis6 1" xfId="34"/>
    <cellStyle name="40% - Énfasis6 2" xfId="35"/>
    <cellStyle name="40% - Énfasis6 3" xfId="36"/>
    <cellStyle name="60% - Énfasis1 1" xfId="37"/>
    <cellStyle name="60% - Énfasis1 2" xfId="38"/>
    <cellStyle name="60% - Énfasis1 3" xfId="39"/>
    <cellStyle name="60% - Énfasis2 1" xfId="40"/>
    <cellStyle name="60% - Énfasis2 2" xfId="41"/>
    <cellStyle name="60% - Énfasis2 3" xfId="42"/>
    <cellStyle name="60% - Énfasis3 1" xfId="43"/>
    <cellStyle name="60% - Énfasis3 2" xfId="44"/>
    <cellStyle name="60% - Énfasis3 3" xfId="45"/>
    <cellStyle name="60% - Énfasis4 1" xfId="46"/>
    <cellStyle name="60% - Énfasis4 2" xfId="47"/>
    <cellStyle name="60% - Énfasis4 3" xfId="48"/>
    <cellStyle name="60% - Énfasis5 1" xfId="49"/>
    <cellStyle name="60% - Énfasis5 2" xfId="50"/>
    <cellStyle name="60% - Énfasis5 3" xfId="51"/>
    <cellStyle name="60% - Énfasis6 1" xfId="52"/>
    <cellStyle name="60% - Énfasis6 2" xfId="53"/>
    <cellStyle name="60% - Énfasis6 3" xfId="54"/>
    <cellStyle name="Besuchter Hyperlink" xfId="1591" builtinId="9" hidden="1"/>
    <cellStyle name="Besuchter Hyperlink" xfId="1593" builtinId="9" hidden="1"/>
    <cellStyle name="Besuchter Hyperlink" xfId="1595" builtinId="9" hidden="1"/>
    <cellStyle name="Besuchter Hyperlink" xfId="1597" builtinId="9" hidden="1"/>
    <cellStyle name="Besuchter Hyperlink" xfId="1599" builtinId="9" hidden="1"/>
    <cellStyle name="Besuchter Hyperlink" xfId="1601" builtinId="9" hidden="1"/>
    <cellStyle name="Besuchter Hyperlink" xfId="1603" builtinId="9" hidden="1"/>
    <cellStyle name="Besuchter Hyperlink" xfId="1605" builtinId="9" hidden="1"/>
    <cellStyle name="Besuchter Hyperlink" xfId="1607" builtinId="9" hidden="1"/>
    <cellStyle name="Buena 1" xfId="55"/>
    <cellStyle name="Buena 2" xfId="56"/>
    <cellStyle name="Buena 3" xfId="57"/>
    <cellStyle name="Cálculo 1" xfId="58"/>
    <cellStyle name="Cálculo 1 2" xfId="59"/>
    <cellStyle name="Cálculo 1 2 2" xfId="60"/>
    <cellStyle name="Cálculo 1 2 2 2" xfId="61"/>
    <cellStyle name="Cálculo 1 2 2 2 2" xfId="62"/>
    <cellStyle name="Cálculo 1 2 2 3" xfId="63"/>
    <cellStyle name="Cálculo 1 2 2 3 2" xfId="64"/>
    <cellStyle name="Cálculo 1 2 2 4" xfId="65"/>
    <cellStyle name="Cálculo 1 2 2 4 2" xfId="66"/>
    <cellStyle name="Cálculo 1 2 2 5" xfId="67"/>
    <cellStyle name="Cálculo 1 2 2 5 2" xfId="68"/>
    <cellStyle name="Cálculo 1 2 2 6" xfId="69"/>
    <cellStyle name="Cálculo 1 2 3" xfId="70"/>
    <cellStyle name="Cálculo 1 2 3 2" xfId="71"/>
    <cellStyle name="Cálculo 1 2 3 2 2" xfId="72"/>
    <cellStyle name="Cálculo 1 2 3 3" xfId="73"/>
    <cellStyle name="Cálculo 1 2 3 3 2" xfId="74"/>
    <cellStyle name="Cálculo 1 2 3 4" xfId="75"/>
    <cellStyle name="Cálculo 1 2 3 4 2" xfId="76"/>
    <cellStyle name="Cálculo 1 2 3 5" xfId="77"/>
    <cellStyle name="Cálculo 1 2 3 5 2" xfId="78"/>
    <cellStyle name="Cálculo 1 2 3 6" xfId="79"/>
    <cellStyle name="Cálculo 1 2 4" xfId="80"/>
    <cellStyle name="Cálculo 1 2 4 2" xfId="81"/>
    <cellStyle name="Cálculo 1 2 5" xfId="82"/>
    <cellStyle name="Cálculo 1 2 5 2" xfId="83"/>
    <cellStyle name="Cálculo 1 2 6" xfId="84"/>
    <cellStyle name="Cálculo 1 2 6 2" xfId="85"/>
    <cellStyle name="Cálculo 1 2 7" xfId="86"/>
    <cellStyle name="Cálculo 1 2 7 2" xfId="87"/>
    <cellStyle name="Cálculo 1 2 8" xfId="88"/>
    <cellStyle name="Cálculo 1 2 8 2" xfId="89"/>
    <cellStyle name="Cálculo 1 2 9" xfId="90"/>
    <cellStyle name="Cálculo 1 3" xfId="91"/>
    <cellStyle name="Cálculo 1 3 2" xfId="92"/>
    <cellStyle name="Cálculo 1 3 2 2" xfId="93"/>
    <cellStyle name="Cálculo 1 3 2 2 2" xfId="94"/>
    <cellStyle name="Cálculo 1 3 2 3" xfId="95"/>
    <cellStyle name="Cálculo 1 3 2 3 2" xfId="96"/>
    <cellStyle name="Cálculo 1 3 2 4" xfId="97"/>
    <cellStyle name="Cálculo 1 3 2 4 2" xfId="98"/>
    <cellStyle name="Cálculo 1 3 2 5" xfId="99"/>
    <cellStyle name="Cálculo 1 3 2 5 2" xfId="100"/>
    <cellStyle name="Cálculo 1 3 2 6" xfId="101"/>
    <cellStyle name="Cálculo 1 3 3" xfId="102"/>
    <cellStyle name="Cálculo 1 3 3 2" xfId="103"/>
    <cellStyle name="Cálculo 1 3 4" xfId="104"/>
    <cellStyle name="Cálculo 1 3 4 2" xfId="105"/>
    <cellStyle name="Cálculo 1 3 5" xfId="106"/>
    <cellStyle name="Cálculo 1 3 5 2" xfId="107"/>
    <cellStyle name="Cálculo 1 3 6" xfId="108"/>
    <cellStyle name="Cálculo 1 3 6 2" xfId="109"/>
    <cellStyle name="Cálculo 1 3 7" xfId="110"/>
    <cellStyle name="Cálculo 1 3 7 2" xfId="111"/>
    <cellStyle name="Cálculo 1 3 8" xfId="112"/>
    <cellStyle name="Cálculo 1 4" xfId="113"/>
    <cellStyle name="Cálculo 1 4 2" xfId="114"/>
    <cellStyle name="Cálculo 1 4 2 2" xfId="115"/>
    <cellStyle name="Cálculo 1 4 3" xfId="116"/>
    <cellStyle name="Cálculo 1 4 3 2" xfId="117"/>
    <cellStyle name="Cálculo 1 4 4" xfId="118"/>
    <cellStyle name="Cálculo 1 4 4 2" xfId="119"/>
    <cellStyle name="Cálculo 1 4 5" xfId="120"/>
    <cellStyle name="Cálculo 1 4 5 2" xfId="121"/>
    <cellStyle name="Cálculo 1 4 6" xfId="122"/>
    <cellStyle name="Cálculo 1 5" xfId="123"/>
    <cellStyle name="Cálculo 1 5 2" xfId="124"/>
    <cellStyle name="Cálculo 1 5 2 2" xfId="125"/>
    <cellStyle name="Cálculo 1 5 3" xfId="126"/>
    <cellStyle name="Cálculo 1 5 3 2" xfId="127"/>
    <cellStyle name="Cálculo 1 5 4" xfId="128"/>
    <cellStyle name="Cálculo 1 5 4 2" xfId="129"/>
    <cellStyle name="Cálculo 1 5 5" xfId="130"/>
    <cellStyle name="Cálculo 1 5 5 2" xfId="131"/>
    <cellStyle name="Cálculo 1 5 6" xfId="132"/>
    <cellStyle name="Cálculo 1 6" xfId="133"/>
    <cellStyle name="Cálculo 1 6 2" xfId="134"/>
    <cellStyle name="Cálculo 1 7" xfId="135"/>
    <cellStyle name="Cálculo 1 7 2" xfId="136"/>
    <cellStyle name="Cálculo 1 8" xfId="137"/>
    <cellStyle name="Cálculo 1 8 2" xfId="138"/>
    <cellStyle name="Cálculo 1 9" xfId="139"/>
    <cellStyle name="Cálculo 2" xfId="140"/>
    <cellStyle name="Cálculo 2 2" xfId="141"/>
    <cellStyle name="Cálculo 2 2 2" xfId="142"/>
    <cellStyle name="Cálculo 2 2 2 2" xfId="143"/>
    <cellStyle name="Cálculo 2 2 2 2 2" xfId="144"/>
    <cellStyle name="Cálculo 2 2 2 3" xfId="145"/>
    <cellStyle name="Cálculo 2 2 2 3 2" xfId="146"/>
    <cellStyle name="Cálculo 2 2 2 4" xfId="147"/>
    <cellStyle name="Cálculo 2 2 2 4 2" xfId="148"/>
    <cellStyle name="Cálculo 2 2 2 5" xfId="149"/>
    <cellStyle name="Cálculo 2 2 2 5 2" xfId="150"/>
    <cellStyle name="Cálculo 2 2 2 6" xfId="151"/>
    <cellStyle name="Cálculo 2 2 3" xfId="152"/>
    <cellStyle name="Cálculo 2 2 3 2" xfId="153"/>
    <cellStyle name="Cálculo 2 2 3 2 2" xfId="154"/>
    <cellStyle name="Cálculo 2 2 3 3" xfId="155"/>
    <cellStyle name="Cálculo 2 2 3 3 2" xfId="156"/>
    <cellStyle name="Cálculo 2 2 3 4" xfId="157"/>
    <cellStyle name="Cálculo 2 2 3 4 2" xfId="158"/>
    <cellStyle name="Cálculo 2 2 3 5" xfId="159"/>
    <cellStyle name="Cálculo 2 2 3 5 2" xfId="160"/>
    <cellStyle name="Cálculo 2 2 3 6" xfId="161"/>
    <cellStyle name="Cálculo 2 2 4" xfId="162"/>
    <cellStyle name="Cálculo 2 2 4 2" xfId="163"/>
    <cellStyle name="Cálculo 2 2 5" xfId="164"/>
    <cellStyle name="Cálculo 2 2 5 2" xfId="165"/>
    <cellStyle name="Cálculo 2 2 6" xfId="166"/>
    <cellStyle name="Cálculo 2 2 6 2" xfId="167"/>
    <cellStyle name="Cálculo 2 2 7" xfId="168"/>
    <cellStyle name="Cálculo 2 2 7 2" xfId="169"/>
    <cellStyle name="Cálculo 2 2 8" xfId="170"/>
    <cellStyle name="Cálculo 2 2 8 2" xfId="171"/>
    <cellStyle name="Cálculo 2 2 9" xfId="172"/>
    <cellStyle name="Cálculo 2 3" xfId="173"/>
    <cellStyle name="Cálculo 2 3 2" xfId="174"/>
    <cellStyle name="Cálculo 2 3 2 2" xfId="175"/>
    <cellStyle name="Cálculo 2 3 2 2 2" xfId="176"/>
    <cellStyle name="Cálculo 2 3 2 3" xfId="177"/>
    <cellStyle name="Cálculo 2 3 2 3 2" xfId="178"/>
    <cellStyle name="Cálculo 2 3 2 4" xfId="179"/>
    <cellStyle name="Cálculo 2 3 2 4 2" xfId="180"/>
    <cellStyle name="Cálculo 2 3 2 5" xfId="181"/>
    <cellStyle name="Cálculo 2 3 2 5 2" xfId="182"/>
    <cellStyle name="Cálculo 2 3 2 6" xfId="183"/>
    <cellStyle name="Cálculo 2 3 3" xfId="184"/>
    <cellStyle name="Cálculo 2 3 3 2" xfId="185"/>
    <cellStyle name="Cálculo 2 3 4" xfId="186"/>
    <cellStyle name="Cálculo 2 3 4 2" xfId="187"/>
    <cellStyle name="Cálculo 2 3 5" xfId="188"/>
    <cellStyle name="Cálculo 2 3 5 2" xfId="189"/>
    <cellStyle name="Cálculo 2 3 6" xfId="190"/>
    <cellStyle name="Cálculo 2 3 6 2" xfId="191"/>
    <cellStyle name="Cálculo 2 3 7" xfId="192"/>
    <cellStyle name="Cálculo 2 3 7 2" xfId="193"/>
    <cellStyle name="Cálculo 2 3 8" xfId="194"/>
    <cellStyle name="Cálculo 2 4" xfId="195"/>
    <cellStyle name="Cálculo 2 4 2" xfId="196"/>
    <cellStyle name="Cálculo 2 4 2 2" xfId="197"/>
    <cellStyle name="Cálculo 2 4 3" xfId="198"/>
    <cellStyle name="Cálculo 2 4 3 2" xfId="199"/>
    <cellStyle name="Cálculo 2 4 4" xfId="200"/>
    <cellStyle name="Cálculo 2 4 4 2" xfId="201"/>
    <cellStyle name="Cálculo 2 4 5" xfId="202"/>
    <cellStyle name="Cálculo 2 4 5 2" xfId="203"/>
    <cellStyle name="Cálculo 2 4 6" xfId="204"/>
    <cellStyle name="Cálculo 2 5" xfId="205"/>
    <cellStyle name="Cálculo 2 5 2" xfId="206"/>
    <cellStyle name="Cálculo 2 5 2 2" xfId="207"/>
    <cellStyle name="Cálculo 2 5 3" xfId="208"/>
    <cellStyle name="Cálculo 2 5 3 2" xfId="209"/>
    <cellStyle name="Cálculo 2 5 4" xfId="210"/>
    <cellStyle name="Cálculo 2 5 4 2" xfId="211"/>
    <cellStyle name="Cálculo 2 5 5" xfId="212"/>
    <cellStyle name="Cálculo 2 5 5 2" xfId="213"/>
    <cellStyle name="Cálculo 2 5 6" xfId="214"/>
    <cellStyle name="Cálculo 2 6" xfId="215"/>
    <cellStyle name="Cálculo 2 6 2" xfId="216"/>
    <cellStyle name="Cálculo 2 7" xfId="217"/>
    <cellStyle name="Cálculo 2 7 2" xfId="218"/>
    <cellStyle name="Cálculo 2 8" xfId="219"/>
    <cellStyle name="Cálculo 2 8 2" xfId="220"/>
    <cellStyle name="Cálculo 2 9" xfId="221"/>
    <cellStyle name="Cálculo 3" xfId="222"/>
    <cellStyle name="Cálculo 3 2" xfId="223"/>
    <cellStyle name="Cálculo 3 2 2" xfId="224"/>
    <cellStyle name="Cálculo 3 2 2 2" xfId="225"/>
    <cellStyle name="Cálculo 3 2 2 2 2" xfId="226"/>
    <cellStyle name="Cálculo 3 2 2 3" xfId="227"/>
    <cellStyle name="Cálculo 3 2 2 3 2" xfId="228"/>
    <cellStyle name="Cálculo 3 2 2 4" xfId="229"/>
    <cellStyle name="Cálculo 3 2 2 4 2" xfId="230"/>
    <cellStyle name="Cálculo 3 2 2 5" xfId="231"/>
    <cellStyle name="Cálculo 3 2 2 5 2" xfId="232"/>
    <cellStyle name="Cálculo 3 2 2 6" xfId="233"/>
    <cellStyle name="Cálculo 3 2 3" xfId="234"/>
    <cellStyle name="Cálculo 3 2 3 2" xfId="235"/>
    <cellStyle name="Cálculo 3 2 3 2 2" xfId="236"/>
    <cellStyle name="Cálculo 3 2 3 3" xfId="237"/>
    <cellStyle name="Cálculo 3 2 3 3 2" xfId="238"/>
    <cellStyle name="Cálculo 3 2 3 4" xfId="239"/>
    <cellStyle name="Cálculo 3 2 3 4 2" xfId="240"/>
    <cellStyle name="Cálculo 3 2 3 5" xfId="241"/>
    <cellStyle name="Cálculo 3 2 3 5 2" xfId="242"/>
    <cellStyle name="Cálculo 3 2 3 6" xfId="243"/>
    <cellStyle name="Cálculo 3 2 4" xfId="244"/>
    <cellStyle name="Cálculo 3 2 4 2" xfId="245"/>
    <cellStyle name="Cálculo 3 2 5" xfId="246"/>
    <cellStyle name="Cálculo 3 2 5 2" xfId="247"/>
    <cellStyle name="Cálculo 3 2 6" xfId="248"/>
    <cellStyle name="Cálculo 3 2 6 2" xfId="249"/>
    <cellStyle name="Cálculo 3 2 7" xfId="250"/>
    <cellStyle name="Cálculo 3 2 7 2" xfId="251"/>
    <cellStyle name="Cálculo 3 2 8" xfId="252"/>
    <cellStyle name="Cálculo 3 2 8 2" xfId="253"/>
    <cellStyle name="Cálculo 3 2 9" xfId="254"/>
    <cellStyle name="Cálculo 3 3" xfId="255"/>
    <cellStyle name="Cálculo 3 3 2" xfId="256"/>
    <cellStyle name="Cálculo 3 3 2 2" xfId="257"/>
    <cellStyle name="Cálculo 3 3 2 2 2" xfId="258"/>
    <cellStyle name="Cálculo 3 3 2 3" xfId="259"/>
    <cellStyle name="Cálculo 3 3 2 3 2" xfId="260"/>
    <cellStyle name="Cálculo 3 3 2 4" xfId="261"/>
    <cellStyle name="Cálculo 3 3 2 4 2" xfId="262"/>
    <cellStyle name="Cálculo 3 3 2 5" xfId="263"/>
    <cellStyle name="Cálculo 3 3 2 5 2" xfId="264"/>
    <cellStyle name="Cálculo 3 3 2 6" xfId="265"/>
    <cellStyle name="Cálculo 3 3 3" xfId="266"/>
    <cellStyle name="Cálculo 3 3 3 2" xfId="267"/>
    <cellStyle name="Cálculo 3 3 4" xfId="268"/>
    <cellStyle name="Cálculo 3 3 4 2" xfId="269"/>
    <cellStyle name="Cálculo 3 3 5" xfId="270"/>
    <cellStyle name="Cálculo 3 3 5 2" xfId="271"/>
    <cellStyle name="Cálculo 3 3 6" xfId="272"/>
    <cellStyle name="Cálculo 3 3 6 2" xfId="273"/>
    <cellStyle name="Cálculo 3 3 7" xfId="274"/>
    <cellStyle name="Cálculo 3 3 7 2" xfId="275"/>
    <cellStyle name="Cálculo 3 3 8" xfId="276"/>
    <cellStyle name="Cálculo 3 4" xfId="277"/>
    <cellStyle name="Cálculo 3 4 2" xfId="278"/>
    <cellStyle name="Cálculo 3 4 2 2" xfId="279"/>
    <cellStyle name="Cálculo 3 4 3" xfId="280"/>
    <cellStyle name="Cálculo 3 4 3 2" xfId="281"/>
    <cellStyle name="Cálculo 3 4 4" xfId="282"/>
    <cellStyle name="Cálculo 3 4 4 2" xfId="283"/>
    <cellStyle name="Cálculo 3 4 5" xfId="284"/>
    <cellStyle name="Cálculo 3 4 5 2" xfId="285"/>
    <cellStyle name="Cálculo 3 4 6" xfId="286"/>
    <cellStyle name="Cálculo 3 5" xfId="287"/>
    <cellStyle name="Cálculo 3 5 2" xfId="288"/>
    <cellStyle name="Cálculo 3 5 2 2" xfId="289"/>
    <cellStyle name="Cálculo 3 5 3" xfId="290"/>
    <cellStyle name="Cálculo 3 5 3 2" xfId="291"/>
    <cellStyle name="Cálculo 3 5 4" xfId="292"/>
    <cellStyle name="Cálculo 3 5 4 2" xfId="293"/>
    <cellStyle name="Cálculo 3 5 5" xfId="294"/>
    <cellStyle name="Cálculo 3 5 5 2" xfId="295"/>
    <cellStyle name="Cálculo 3 5 6" xfId="296"/>
    <cellStyle name="Cálculo 3 6" xfId="297"/>
    <cellStyle name="Cálculo 3 6 2" xfId="298"/>
    <cellStyle name="Cálculo 3 7" xfId="299"/>
    <cellStyle name="Cálculo 3 7 2" xfId="300"/>
    <cellStyle name="Cálculo 3 8" xfId="301"/>
    <cellStyle name="Cálculo 3 8 2" xfId="302"/>
    <cellStyle name="Cálculo 3 9" xfId="303"/>
    <cellStyle name="Celda de comprobación 1" xfId="304"/>
    <cellStyle name="Celda de comprobación 2" xfId="305"/>
    <cellStyle name="Celda de comprobación 3" xfId="306"/>
    <cellStyle name="Celda vinculada 1" xfId="307"/>
    <cellStyle name="Celda vinculada 2" xfId="308"/>
    <cellStyle name="Celda vinculada 3" xfId="309"/>
    <cellStyle name="Encabezado 4 1" xfId="310"/>
    <cellStyle name="Encabezado 4 2" xfId="311"/>
    <cellStyle name="Encabezado 4 3" xfId="312"/>
    <cellStyle name="Énfasis1 1" xfId="313"/>
    <cellStyle name="Énfasis1 2" xfId="314"/>
    <cellStyle name="Énfasis1 3" xfId="315"/>
    <cellStyle name="Énfasis2 1" xfId="316"/>
    <cellStyle name="Énfasis2 2" xfId="317"/>
    <cellStyle name="Énfasis2 3" xfId="318"/>
    <cellStyle name="Énfasis3 1" xfId="319"/>
    <cellStyle name="Énfasis3 2" xfId="320"/>
    <cellStyle name="Énfasis3 3" xfId="321"/>
    <cellStyle name="Énfasis4 1" xfId="322"/>
    <cellStyle name="Énfasis4 2" xfId="323"/>
    <cellStyle name="Énfasis4 3" xfId="324"/>
    <cellStyle name="Énfasis5 1" xfId="325"/>
    <cellStyle name="Énfasis5 2" xfId="326"/>
    <cellStyle name="Énfasis5 3" xfId="327"/>
    <cellStyle name="Énfasis6 1" xfId="328"/>
    <cellStyle name="Énfasis6 2" xfId="329"/>
    <cellStyle name="Énfasis6 3" xfId="330"/>
    <cellStyle name="Entrada 1" xfId="331"/>
    <cellStyle name="Entrada 1 2" xfId="332"/>
    <cellStyle name="Entrada 1 2 2" xfId="333"/>
    <cellStyle name="Entrada 1 2 2 2" xfId="334"/>
    <cellStyle name="Entrada 1 2 2 2 2" xfId="335"/>
    <cellStyle name="Entrada 1 2 2 3" xfId="336"/>
    <cellStyle name="Entrada 1 2 2 3 2" xfId="337"/>
    <cellStyle name="Entrada 1 2 2 4" xfId="338"/>
    <cellStyle name="Entrada 1 2 2 4 2" xfId="339"/>
    <cellStyle name="Entrada 1 2 2 5" xfId="340"/>
    <cellStyle name="Entrada 1 2 2 5 2" xfId="341"/>
    <cellStyle name="Entrada 1 2 2 6" xfId="342"/>
    <cellStyle name="Entrada 1 2 3" xfId="343"/>
    <cellStyle name="Entrada 1 2 3 2" xfId="344"/>
    <cellStyle name="Entrada 1 2 3 2 2" xfId="345"/>
    <cellStyle name="Entrada 1 2 3 3" xfId="346"/>
    <cellStyle name="Entrada 1 2 3 3 2" xfId="347"/>
    <cellStyle name="Entrada 1 2 3 4" xfId="348"/>
    <cellStyle name="Entrada 1 2 3 4 2" xfId="349"/>
    <cellStyle name="Entrada 1 2 3 5" xfId="350"/>
    <cellStyle name="Entrada 1 2 3 5 2" xfId="351"/>
    <cellStyle name="Entrada 1 2 3 6" xfId="352"/>
    <cellStyle name="Entrada 1 2 4" xfId="353"/>
    <cellStyle name="Entrada 1 2 4 2" xfId="354"/>
    <cellStyle name="Entrada 1 2 5" xfId="355"/>
    <cellStyle name="Entrada 1 2 5 2" xfId="356"/>
    <cellStyle name="Entrada 1 2 6" xfId="357"/>
    <cellStyle name="Entrada 1 2 6 2" xfId="358"/>
    <cellStyle name="Entrada 1 2 7" xfId="359"/>
    <cellStyle name="Entrada 1 2 7 2" xfId="360"/>
    <cellStyle name="Entrada 1 2 8" xfId="361"/>
    <cellStyle name="Entrada 1 2 8 2" xfId="362"/>
    <cellStyle name="Entrada 1 2 9" xfId="363"/>
    <cellStyle name="Entrada 1 3" xfId="364"/>
    <cellStyle name="Entrada 1 3 2" xfId="365"/>
    <cellStyle name="Entrada 1 3 2 2" xfId="366"/>
    <cellStyle name="Entrada 1 3 2 2 2" xfId="367"/>
    <cellStyle name="Entrada 1 3 2 3" xfId="368"/>
    <cellStyle name="Entrada 1 3 2 3 2" xfId="369"/>
    <cellStyle name="Entrada 1 3 2 4" xfId="370"/>
    <cellStyle name="Entrada 1 3 2 4 2" xfId="371"/>
    <cellStyle name="Entrada 1 3 2 5" xfId="372"/>
    <cellStyle name="Entrada 1 3 2 5 2" xfId="373"/>
    <cellStyle name="Entrada 1 3 2 6" xfId="374"/>
    <cellStyle name="Entrada 1 3 3" xfId="375"/>
    <cellStyle name="Entrada 1 3 3 2" xfId="376"/>
    <cellStyle name="Entrada 1 3 4" xfId="377"/>
    <cellStyle name="Entrada 1 3 4 2" xfId="378"/>
    <cellStyle name="Entrada 1 3 5" xfId="379"/>
    <cellStyle name="Entrada 1 3 5 2" xfId="380"/>
    <cellStyle name="Entrada 1 3 6" xfId="381"/>
    <cellStyle name="Entrada 1 3 6 2" xfId="382"/>
    <cellStyle name="Entrada 1 3 7" xfId="383"/>
    <cellStyle name="Entrada 1 3 7 2" xfId="384"/>
    <cellStyle name="Entrada 1 3 8" xfId="385"/>
    <cellStyle name="Entrada 1 4" xfId="386"/>
    <cellStyle name="Entrada 1 4 2" xfId="387"/>
    <cellStyle name="Entrada 1 4 2 2" xfId="388"/>
    <cellStyle name="Entrada 1 4 3" xfId="389"/>
    <cellStyle name="Entrada 1 4 3 2" xfId="390"/>
    <cellStyle name="Entrada 1 4 4" xfId="391"/>
    <cellStyle name="Entrada 1 4 4 2" xfId="392"/>
    <cellStyle name="Entrada 1 4 5" xfId="393"/>
    <cellStyle name="Entrada 1 4 5 2" xfId="394"/>
    <cellStyle name="Entrada 1 4 6" xfId="395"/>
    <cellStyle name="Entrada 1 5" xfId="396"/>
    <cellStyle name="Entrada 1 5 2" xfId="397"/>
    <cellStyle name="Entrada 1 5 2 2" xfId="398"/>
    <cellStyle name="Entrada 1 5 3" xfId="399"/>
    <cellStyle name="Entrada 1 5 3 2" xfId="400"/>
    <cellStyle name="Entrada 1 5 4" xfId="401"/>
    <cellStyle name="Entrada 1 5 4 2" xfId="402"/>
    <cellStyle name="Entrada 1 5 5" xfId="403"/>
    <cellStyle name="Entrada 1 5 5 2" xfId="404"/>
    <cellStyle name="Entrada 1 5 6" xfId="405"/>
    <cellStyle name="Entrada 1 6" xfId="406"/>
    <cellStyle name="Entrada 1 6 2" xfId="407"/>
    <cellStyle name="Entrada 1 7" xfId="408"/>
    <cellStyle name="Entrada 1 7 2" xfId="409"/>
    <cellStyle name="Entrada 1 8" xfId="410"/>
    <cellStyle name="Entrada 1 8 2" xfId="411"/>
    <cellStyle name="Entrada 1 9" xfId="412"/>
    <cellStyle name="Entrada 2" xfId="413"/>
    <cellStyle name="Entrada 2 2" xfId="414"/>
    <cellStyle name="Entrada 2 2 2" xfId="415"/>
    <cellStyle name="Entrada 2 2 2 2" xfId="416"/>
    <cellStyle name="Entrada 2 2 2 2 2" xfId="417"/>
    <cellStyle name="Entrada 2 2 2 3" xfId="418"/>
    <cellStyle name="Entrada 2 2 2 3 2" xfId="419"/>
    <cellStyle name="Entrada 2 2 2 4" xfId="420"/>
    <cellStyle name="Entrada 2 2 2 4 2" xfId="421"/>
    <cellStyle name="Entrada 2 2 2 5" xfId="422"/>
    <cellStyle name="Entrada 2 2 2 5 2" xfId="423"/>
    <cellStyle name="Entrada 2 2 2 6" xfId="424"/>
    <cellStyle name="Entrada 2 2 3" xfId="425"/>
    <cellStyle name="Entrada 2 2 3 2" xfId="426"/>
    <cellStyle name="Entrada 2 2 3 2 2" xfId="427"/>
    <cellStyle name="Entrada 2 2 3 3" xfId="428"/>
    <cellStyle name="Entrada 2 2 3 3 2" xfId="429"/>
    <cellStyle name="Entrada 2 2 3 4" xfId="430"/>
    <cellStyle name="Entrada 2 2 3 4 2" xfId="431"/>
    <cellStyle name="Entrada 2 2 3 5" xfId="432"/>
    <cellStyle name="Entrada 2 2 3 5 2" xfId="433"/>
    <cellStyle name="Entrada 2 2 3 6" xfId="434"/>
    <cellStyle name="Entrada 2 2 4" xfId="435"/>
    <cellStyle name="Entrada 2 2 4 2" xfId="436"/>
    <cellStyle name="Entrada 2 2 5" xfId="437"/>
    <cellStyle name="Entrada 2 2 5 2" xfId="438"/>
    <cellStyle name="Entrada 2 2 6" xfId="439"/>
    <cellStyle name="Entrada 2 2 6 2" xfId="440"/>
    <cellStyle name="Entrada 2 2 7" xfId="441"/>
    <cellStyle name="Entrada 2 2 7 2" xfId="442"/>
    <cellStyle name="Entrada 2 2 8" xfId="443"/>
    <cellStyle name="Entrada 2 2 8 2" xfId="444"/>
    <cellStyle name="Entrada 2 2 9" xfId="445"/>
    <cellStyle name="Entrada 2 3" xfId="446"/>
    <cellStyle name="Entrada 2 3 2" xfId="447"/>
    <cellStyle name="Entrada 2 3 2 2" xfId="448"/>
    <cellStyle name="Entrada 2 3 2 2 2" xfId="449"/>
    <cellStyle name="Entrada 2 3 2 3" xfId="450"/>
    <cellStyle name="Entrada 2 3 2 3 2" xfId="451"/>
    <cellStyle name="Entrada 2 3 2 4" xfId="452"/>
    <cellStyle name="Entrada 2 3 2 4 2" xfId="453"/>
    <cellStyle name="Entrada 2 3 2 5" xfId="454"/>
    <cellStyle name="Entrada 2 3 2 5 2" xfId="455"/>
    <cellStyle name="Entrada 2 3 2 6" xfId="456"/>
    <cellStyle name="Entrada 2 3 3" xfId="457"/>
    <cellStyle name="Entrada 2 3 3 2" xfId="458"/>
    <cellStyle name="Entrada 2 3 4" xfId="459"/>
    <cellStyle name="Entrada 2 3 4 2" xfId="460"/>
    <cellStyle name="Entrada 2 3 5" xfId="461"/>
    <cellStyle name="Entrada 2 3 5 2" xfId="462"/>
    <cellStyle name="Entrada 2 3 6" xfId="463"/>
    <cellStyle name="Entrada 2 3 6 2" xfId="464"/>
    <cellStyle name="Entrada 2 3 7" xfId="465"/>
    <cellStyle name="Entrada 2 3 7 2" xfId="466"/>
    <cellStyle name="Entrada 2 3 8" xfId="467"/>
    <cellStyle name="Entrada 2 4" xfId="468"/>
    <cellStyle name="Entrada 2 4 2" xfId="469"/>
    <cellStyle name="Entrada 2 4 2 2" xfId="470"/>
    <cellStyle name="Entrada 2 4 3" xfId="471"/>
    <cellStyle name="Entrada 2 4 3 2" xfId="472"/>
    <cellStyle name="Entrada 2 4 4" xfId="473"/>
    <cellStyle name="Entrada 2 4 4 2" xfId="474"/>
    <cellStyle name="Entrada 2 4 5" xfId="475"/>
    <cellStyle name="Entrada 2 4 5 2" xfId="476"/>
    <cellStyle name="Entrada 2 4 6" xfId="477"/>
    <cellStyle name="Entrada 2 5" xfId="478"/>
    <cellStyle name="Entrada 2 5 2" xfId="479"/>
    <cellStyle name="Entrada 2 5 2 2" xfId="480"/>
    <cellStyle name="Entrada 2 5 3" xfId="481"/>
    <cellStyle name="Entrada 2 5 3 2" xfId="482"/>
    <cellStyle name="Entrada 2 5 4" xfId="483"/>
    <cellStyle name="Entrada 2 5 4 2" xfId="484"/>
    <cellStyle name="Entrada 2 5 5" xfId="485"/>
    <cellStyle name="Entrada 2 5 5 2" xfId="486"/>
    <cellStyle name="Entrada 2 5 6" xfId="487"/>
    <cellStyle name="Entrada 2 6" xfId="488"/>
    <cellStyle name="Entrada 2 6 2" xfId="489"/>
    <cellStyle name="Entrada 2 7" xfId="490"/>
    <cellStyle name="Entrada 2 7 2" xfId="491"/>
    <cellStyle name="Entrada 2 8" xfId="492"/>
    <cellStyle name="Entrada 2 8 2" xfId="493"/>
    <cellStyle name="Entrada 2 9" xfId="494"/>
    <cellStyle name="Entrada 3" xfId="495"/>
    <cellStyle name="Entrada 3 2" xfId="496"/>
    <cellStyle name="Entrada 3 2 2" xfId="497"/>
    <cellStyle name="Entrada 3 2 2 2" xfId="498"/>
    <cellStyle name="Entrada 3 2 2 2 2" xfId="499"/>
    <cellStyle name="Entrada 3 2 2 3" xfId="500"/>
    <cellStyle name="Entrada 3 2 2 3 2" xfId="501"/>
    <cellStyle name="Entrada 3 2 2 4" xfId="502"/>
    <cellStyle name="Entrada 3 2 2 4 2" xfId="503"/>
    <cellStyle name="Entrada 3 2 2 5" xfId="504"/>
    <cellStyle name="Entrada 3 2 2 5 2" xfId="505"/>
    <cellStyle name="Entrada 3 2 2 6" xfId="506"/>
    <cellStyle name="Entrada 3 2 3" xfId="507"/>
    <cellStyle name="Entrada 3 2 3 2" xfId="508"/>
    <cellStyle name="Entrada 3 2 3 2 2" xfId="509"/>
    <cellStyle name="Entrada 3 2 3 3" xfId="510"/>
    <cellStyle name="Entrada 3 2 3 3 2" xfId="511"/>
    <cellStyle name="Entrada 3 2 3 4" xfId="512"/>
    <cellStyle name="Entrada 3 2 3 4 2" xfId="513"/>
    <cellStyle name="Entrada 3 2 3 5" xfId="514"/>
    <cellStyle name="Entrada 3 2 3 5 2" xfId="515"/>
    <cellStyle name="Entrada 3 2 3 6" xfId="516"/>
    <cellStyle name="Entrada 3 2 4" xfId="517"/>
    <cellStyle name="Entrada 3 2 4 2" xfId="518"/>
    <cellStyle name="Entrada 3 2 5" xfId="519"/>
    <cellStyle name="Entrada 3 2 5 2" xfId="520"/>
    <cellStyle name="Entrada 3 2 6" xfId="521"/>
    <cellStyle name="Entrada 3 2 6 2" xfId="522"/>
    <cellStyle name="Entrada 3 2 7" xfId="523"/>
    <cellStyle name="Entrada 3 2 7 2" xfId="524"/>
    <cellStyle name="Entrada 3 2 8" xfId="525"/>
    <cellStyle name="Entrada 3 2 8 2" xfId="526"/>
    <cellStyle name="Entrada 3 2 9" xfId="527"/>
    <cellStyle name="Entrada 3 3" xfId="528"/>
    <cellStyle name="Entrada 3 3 2" xfId="529"/>
    <cellStyle name="Entrada 3 3 2 2" xfId="530"/>
    <cellStyle name="Entrada 3 3 2 2 2" xfId="531"/>
    <cellStyle name="Entrada 3 3 2 3" xfId="532"/>
    <cellStyle name="Entrada 3 3 2 3 2" xfId="533"/>
    <cellStyle name="Entrada 3 3 2 4" xfId="534"/>
    <cellStyle name="Entrada 3 3 2 4 2" xfId="535"/>
    <cellStyle name="Entrada 3 3 2 5" xfId="536"/>
    <cellStyle name="Entrada 3 3 2 5 2" xfId="537"/>
    <cellStyle name="Entrada 3 3 2 6" xfId="538"/>
    <cellStyle name="Entrada 3 3 3" xfId="539"/>
    <cellStyle name="Entrada 3 3 3 2" xfId="540"/>
    <cellStyle name="Entrada 3 3 4" xfId="541"/>
    <cellStyle name="Entrada 3 3 4 2" xfId="542"/>
    <cellStyle name="Entrada 3 3 5" xfId="543"/>
    <cellStyle name="Entrada 3 3 5 2" xfId="544"/>
    <cellStyle name="Entrada 3 3 6" xfId="545"/>
    <cellStyle name="Entrada 3 3 6 2" xfId="546"/>
    <cellStyle name="Entrada 3 3 7" xfId="547"/>
    <cellStyle name="Entrada 3 3 7 2" xfId="548"/>
    <cellStyle name="Entrada 3 3 8" xfId="549"/>
    <cellStyle name="Entrada 3 4" xfId="550"/>
    <cellStyle name="Entrada 3 4 2" xfId="551"/>
    <cellStyle name="Entrada 3 4 2 2" xfId="552"/>
    <cellStyle name="Entrada 3 4 3" xfId="553"/>
    <cellStyle name="Entrada 3 4 3 2" xfId="554"/>
    <cellStyle name="Entrada 3 4 4" xfId="555"/>
    <cellStyle name="Entrada 3 4 4 2" xfId="556"/>
    <cellStyle name="Entrada 3 4 5" xfId="557"/>
    <cellStyle name="Entrada 3 4 5 2" xfId="558"/>
    <cellStyle name="Entrada 3 4 6" xfId="559"/>
    <cellStyle name="Entrada 3 5" xfId="560"/>
    <cellStyle name="Entrada 3 5 2" xfId="561"/>
    <cellStyle name="Entrada 3 5 2 2" xfId="562"/>
    <cellStyle name="Entrada 3 5 3" xfId="563"/>
    <cellStyle name="Entrada 3 5 3 2" xfId="564"/>
    <cellStyle name="Entrada 3 5 4" xfId="565"/>
    <cellStyle name="Entrada 3 5 4 2" xfId="566"/>
    <cellStyle name="Entrada 3 5 5" xfId="567"/>
    <cellStyle name="Entrada 3 5 5 2" xfId="568"/>
    <cellStyle name="Entrada 3 5 6" xfId="569"/>
    <cellStyle name="Entrada 3 6" xfId="570"/>
    <cellStyle name="Entrada 3 6 2" xfId="571"/>
    <cellStyle name="Entrada 3 7" xfId="572"/>
    <cellStyle name="Entrada 3 7 2" xfId="573"/>
    <cellStyle name="Entrada 3 8" xfId="574"/>
    <cellStyle name="Entrada 3 8 2" xfId="575"/>
    <cellStyle name="Entrada 3 9" xfId="576"/>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Incorrecto 1" xfId="577"/>
    <cellStyle name="Incorrecto 2" xfId="578"/>
    <cellStyle name="Incorrecto 3" xfId="579"/>
    <cellStyle name="Komma" xfId="580" builtinId="3"/>
    <cellStyle name="Millares 2" xfId="581"/>
    <cellStyle name="Neutral 1" xfId="582"/>
    <cellStyle name="Neutral 2" xfId="583"/>
    <cellStyle name="Neutral 3" xfId="584"/>
    <cellStyle name="Normal 2" xfId="585"/>
    <cellStyle name="Normal 2 10" xfId="586"/>
    <cellStyle name="Normal 2 10 2" xfId="587"/>
    <cellStyle name="Normal 2 11" xfId="588"/>
    <cellStyle name="Normal 2 11 2" xfId="589"/>
    <cellStyle name="Normal 2 12" xfId="590"/>
    <cellStyle name="Normal 2 12 2" xfId="591"/>
    <cellStyle name="Normal 2 13" xfId="592"/>
    <cellStyle name="Normal 2 2" xfId="593"/>
    <cellStyle name="Normal 2 2 10" xfId="594"/>
    <cellStyle name="Normal 2 2 10 2" xfId="595"/>
    <cellStyle name="Normal 2 2 11" xfId="596"/>
    <cellStyle name="Normal 2 2 2" xfId="597"/>
    <cellStyle name="Normal 2 2 2 2" xfId="598"/>
    <cellStyle name="Normal 2 2 2 2 2" xfId="599"/>
    <cellStyle name="Normal 2 2 2 2 2 2" xfId="600"/>
    <cellStyle name="Normal 2 2 2 2 2 2 2" xfId="601"/>
    <cellStyle name="Normal 2 2 2 2 2 3" xfId="602"/>
    <cellStyle name="Normal 2 2 2 2 2 3 2" xfId="603"/>
    <cellStyle name="Normal 2 2 2 2 2 4" xfId="604"/>
    <cellStyle name="Normal 2 2 2 2 2 4 2" xfId="605"/>
    <cellStyle name="Normal 2 2 2 2 2 5" xfId="606"/>
    <cellStyle name="Normal 2 2 2 2 3" xfId="607"/>
    <cellStyle name="Normal 2 2 2 2 3 2" xfId="608"/>
    <cellStyle name="Normal 2 2 2 2 3 2 2" xfId="609"/>
    <cellStyle name="Normal 2 2 2 2 3 3" xfId="610"/>
    <cellStyle name="Normal 2 2 2 2 3 3 2" xfId="611"/>
    <cellStyle name="Normal 2 2 2 2 3 4" xfId="612"/>
    <cellStyle name="Normal 2 2 2 2 4" xfId="613"/>
    <cellStyle name="Normal 2 2 2 2 4 2" xfId="614"/>
    <cellStyle name="Normal 2 2 2 2 5" xfId="615"/>
    <cellStyle name="Normal 2 2 2 2 5 2" xfId="616"/>
    <cellStyle name="Normal 2 2 2 2 6" xfId="617"/>
    <cellStyle name="Normal 2 2 2 2 6 2" xfId="618"/>
    <cellStyle name="Normal 2 2 2 2 7" xfId="619"/>
    <cellStyle name="Normal 2 2 2 3" xfId="620"/>
    <cellStyle name="Normal 2 2 2 3 2" xfId="621"/>
    <cellStyle name="Normal 2 2 2 3 2 2" xfId="622"/>
    <cellStyle name="Normal 2 2 2 3 2 2 2" xfId="623"/>
    <cellStyle name="Normal 2 2 2 3 2 3" xfId="624"/>
    <cellStyle name="Normal 2 2 2 3 2 3 2" xfId="625"/>
    <cellStyle name="Normal 2 2 2 3 2 4" xfId="626"/>
    <cellStyle name="Normal 2 2 2 3 3" xfId="627"/>
    <cellStyle name="Normal 2 2 2 3 3 2" xfId="628"/>
    <cellStyle name="Normal 2 2 2 3 4" xfId="629"/>
    <cellStyle name="Normal 2 2 2 3 4 2" xfId="630"/>
    <cellStyle name="Normal 2 2 2 3 5" xfId="631"/>
    <cellStyle name="Normal 2 2 2 3 5 2" xfId="632"/>
    <cellStyle name="Normal 2 2 2 3 6" xfId="633"/>
    <cellStyle name="Normal 2 2 2 4" xfId="634"/>
    <cellStyle name="Normal 2 2 2 4 2" xfId="635"/>
    <cellStyle name="Normal 2 2 2 4 2 2" xfId="636"/>
    <cellStyle name="Normal 2 2 2 4 3" xfId="637"/>
    <cellStyle name="Normal 2 2 2 4 3 2" xfId="638"/>
    <cellStyle name="Normal 2 2 2 4 4" xfId="639"/>
    <cellStyle name="Normal 2 2 2 4 4 2" xfId="640"/>
    <cellStyle name="Normal 2 2 2 4 5" xfId="641"/>
    <cellStyle name="Normal 2 2 2 5" xfId="642"/>
    <cellStyle name="Normal 2 2 2 5 2" xfId="643"/>
    <cellStyle name="Normal 2 2 2 5 2 2" xfId="644"/>
    <cellStyle name="Normal 2 2 2 5 3" xfId="645"/>
    <cellStyle name="Normal 2 2 2 5 3 2" xfId="646"/>
    <cellStyle name="Normal 2 2 2 5 4" xfId="647"/>
    <cellStyle name="Normal 2 2 2 6" xfId="648"/>
    <cellStyle name="Normal 2 2 2 6 2" xfId="649"/>
    <cellStyle name="Normal 2 2 2 7" xfId="650"/>
    <cellStyle name="Normal 2 2 2 7 2" xfId="651"/>
    <cellStyle name="Normal 2 2 2 8" xfId="652"/>
    <cellStyle name="Normal 2 2 2 8 2" xfId="653"/>
    <cellStyle name="Normal 2 2 2 9" xfId="654"/>
    <cellStyle name="Normal 2 2 3" xfId="655"/>
    <cellStyle name="Normal 2 2 3 2" xfId="656"/>
    <cellStyle name="Normal 2 2 3 2 2" xfId="657"/>
    <cellStyle name="Normal 2 2 3 2 2 2" xfId="658"/>
    <cellStyle name="Normal 2 2 3 2 2 2 2" xfId="659"/>
    <cellStyle name="Normal 2 2 3 2 2 3" xfId="660"/>
    <cellStyle name="Normal 2 2 3 2 2 3 2" xfId="661"/>
    <cellStyle name="Normal 2 2 3 2 2 4" xfId="662"/>
    <cellStyle name="Normal 2 2 3 2 3" xfId="663"/>
    <cellStyle name="Normal 2 2 3 2 3 2" xfId="664"/>
    <cellStyle name="Normal 2 2 3 2 4" xfId="665"/>
    <cellStyle name="Normal 2 2 3 2 4 2" xfId="666"/>
    <cellStyle name="Normal 2 2 3 2 5" xfId="667"/>
    <cellStyle name="Normal 2 2 3 2 5 2" xfId="668"/>
    <cellStyle name="Normal 2 2 3 2 6" xfId="669"/>
    <cellStyle name="Normal 2 2 3 3" xfId="670"/>
    <cellStyle name="Normal 2 2 3 3 2" xfId="671"/>
    <cellStyle name="Normal 2 2 3 3 2 2" xfId="672"/>
    <cellStyle name="Normal 2 2 3 3 3" xfId="673"/>
    <cellStyle name="Normal 2 2 3 3 3 2" xfId="674"/>
    <cellStyle name="Normal 2 2 3 3 4" xfId="675"/>
    <cellStyle name="Normal 2 2 3 3 4 2" xfId="676"/>
    <cellStyle name="Normal 2 2 3 3 5" xfId="677"/>
    <cellStyle name="Normal 2 2 3 4" xfId="678"/>
    <cellStyle name="Normal 2 2 3 4 2" xfId="679"/>
    <cellStyle name="Normal 2 2 3 4 2 2" xfId="680"/>
    <cellStyle name="Normal 2 2 3 4 3" xfId="681"/>
    <cellStyle name="Normal 2 2 3 4 3 2" xfId="682"/>
    <cellStyle name="Normal 2 2 3 4 4" xfId="683"/>
    <cellStyle name="Normal 2 2 3 5" xfId="684"/>
    <cellStyle name="Normal 2 2 3 5 2" xfId="685"/>
    <cellStyle name="Normal 2 2 3 6" xfId="686"/>
    <cellStyle name="Normal 2 2 3 6 2" xfId="687"/>
    <cellStyle name="Normal 2 2 3 7" xfId="688"/>
    <cellStyle name="Normal 2 2 3 7 2" xfId="689"/>
    <cellStyle name="Normal 2 2 3 8" xfId="690"/>
    <cellStyle name="Normal 2 2 4" xfId="691"/>
    <cellStyle name="Normal 2 2 4 2" xfId="692"/>
    <cellStyle name="Normal 2 2 4 2 2" xfId="693"/>
    <cellStyle name="Normal 2 2 4 2 2 2" xfId="694"/>
    <cellStyle name="Normal 2 2 4 2 3" xfId="695"/>
    <cellStyle name="Normal 2 2 4 2 3 2" xfId="696"/>
    <cellStyle name="Normal 2 2 4 2 4" xfId="697"/>
    <cellStyle name="Normal 2 2 4 2 4 2" xfId="698"/>
    <cellStyle name="Normal 2 2 4 2 5" xfId="699"/>
    <cellStyle name="Normal 2 2 4 3" xfId="700"/>
    <cellStyle name="Normal 2 2 4 3 2" xfId="701"/>
    <cellStyle name="Normal 2 2 4 3 2 2" xfId="702"/>
    <cellStyle name="Normal 2 2 4 3 3" xfId="703"/>
    <cellStyle name="Normal 2 2 4 3 3 2" xfId="704"/>
    <cellStyle name="Normal 2 2 4 3 4" xfId="705"/>
    <cellStyle name="Normal 2 2 4 4" xfId="706"/>
    <cellStyle name="Normal 2 2 4 4 2" xfId="707"/>
    <cellStyle name="Normal 2 2 4 5" xfId="708"/>
    <cellStyle name="Normal 2 2 4 5 2" xfId="709"/>
    <cellStyle name="Normal 2 2 4 6" xfId="710"/>
    <cellStyle name="Normal 2 2 4 6 2" xfId="711"/>
    <cellStyle name="Normal 2 2 4 7" xfId="712"/>
    <cellStyle name="Normal 2 2 5" xfId="713"/>
    <cellStyle name="Normal 2 2 5 2" xfId="714"/>
    <cellStyle name="Normal 2 2 5 2 2" xfId="715"/>
    <cellStyle name="Normal 2 2 5 2 2 2" xfId="716"/>
    <cellStyle name="Normal 2 2 5 2 3" xfId="717"/>
    <cellStyle name="Normal 2 2 5 2 3 2" xfId="718"/>
    <cellStyle name="Normal 2 2 5 2 4" xfId="719"/>
    <cellStyle name="Normal 2 2 5 3" xfId="720"/>
    <cellStyle name="Normal 2 2 5 3 2" xfId="721"/>
    <cellStyle name="Normal 2 2 5 4" xfId="722"/>
    <cellStyle name="Normal 2 2 5 4 2" xfId="723"/>
    <cellStyle name="Normal 2 2 5 5" xfId="724"/>
    <cellStyle name="Normal 2 2 5 5 2" xfId="725"/>
    <cellStyle name="Normal 2 2 5 6" xfId="726"/>
    <cellStyle name="Normal 2 2 6" xfId="727"/>
    <cellStyle name="Normal 2 2 6 2" xfId="728"/>
    <cellStyle name="Normal 2 2 6 2 2" xfId="729"/>
    <cellStyle name="Normal 2 2 6 3" xfId="730"/>
    <cellStyle name="Normal 2 2 6 3 2" xfId="731"/>
    <cellStyle name="Normal 2 2 6 4" xfId="732"/>
    <cellStyle name="Normal 2 2 6 4 2" xfId="733"/>
    <cellStyle name="Normal 2 2 6 5" xfId="734"/>
    <cellStyle name="Normal 2 2 7" xfId="735"/>
    <cellStyle name="Normal 2 2 7 2" xfId="736"/>
    <cellStyle name="Normal 2 2 7 2 2" xfId="737"/>
    <cellStyle name="Normal 2 2 7 3" xfId="738"/>
    <cellStyle name="Normal 2 2 7 3 2" xfId="739"/>
    <cellStyle name="Normal 2 2 7 4" xfId="740"/>
    <cellStyle name="Normal 2 2 8" xfId="741"/>
    <cellStyle name="Normal 2 2 8 2" xfId="742"/>
    <cellStyle name="Normal 2 2 9" xfId="743"/>
    <cellStyle name="Normal 2 2 9 2" xfId="744"/>
    <cellStyle name="Normal 2 3" xfId="745"/>
    <cellStyle name="Normal 2 4" xfId="746"/>
    <cellStyle name="Normal 2 4 2" xfId="747"/>
    <cellStyle name="Normal 2 4 2 2" xfId="748"/>
    <cellStyle name="Normal 2 4 2 2 2" xfId="749"/>
    <cellStyle name="Normal 2 4 2 2 2 2" xfId="750"/>
    <cellStyle name="Normal 2 4 2 2 3" xfId="751"/>
    <cellStyle name="Normal 2 4 2 2 3 2" xfId="752"/>
    <cellStyle name="Normal 2 4 2 2 4" xfId="753"/>
    <cellStyle name="Normal 2 4 2 2 4 2" xfId="754"/>
    <cellStyle name="Normal 2 4 2 2 5" xfId="755"/>
    <cellStyle name="Normal 2 4 2 3" xfId="756"/>
    <cellStyle name="Normal 2 4 2 3 2" xfId="757"/>
    <cellStyle name="Normal 2 4 2 3 2 2" xfId="758"/>
    <cellStyle name="Normal 2 4 2 3 3" xfId="759"/>
    <cellStyle name="Normal 2 4 2 3 3 2" xfId="760"/>
    <cellStyle name="Normal 2 4 2 3 4" xfId="761"/>
    <cellStyle name="Normal 2 4 2 4" xfId="762"/>
    <cellStyle name="Normal 2 4 2 4 2" xfId="763"/>
    <cellStyle name="Normal 2 4 2 5" xfId="764"/>
    <cellStyle name="Normal 2 4 2 5 2" xfId="765"/>
    <cellStyle name="Normal 2 4 2 6" xfId="766"/>
    <cellStyle name="Normal 2 4 2 6 2" xfId="767"/>
    <cellStyle name="Normal 2 4 2 7" xfId="768"/>
    <cellStyle name="Normal 2 4 3" xfId="769"/>
    <cellStyle name="Normal 2 4 3 2" xfId="770"/>
    <cellStyle name="Normal 2 4 3 2 2" xfId="771"/>
    <cellStyle name="Normal 2 4 3 2 2 2" xfId="772"/>
    <cellStyle name="Normal 2 4 3 2 3" xfId="773"/>
    <cellStyle name="Normal 2 4 3 2 3 2" xfId="774"/>
    <cellStyle name="Normal 2 4 3 2 4" xfId="775"/>
    <cellStyle name="Normal 2 4 3 3" xfId="776"/>
    <cellStyle name="Normal 2 4 3 3 2" xfId="777"/>
    <cellStyle name="Normal 2 4 3 4" xfId="778"/>
    <cellStyle name="Normal 2 4 3 4 2" xfId="779"/>
    <cellStyle name="Normal 2 4 3 5" xfId="780"/>
    <cellStyle name="Normal 2 4 3 5 2" xfId="781"/>
    <cellStyle name="Normal 2 4 3 6" xfId="782"/>
    <cellStyle name="Normal 2 4 4" xfId="783"/>
    <cellStyle name="Normal 2 4 4 2" xfId="784"/>
    <cellStyle name="Normal 2 4 4 2 2" xfId="785"/>
    <cellStyle name="Normal 2 4 4 3" xfId="786"/>
    <cellStyle name="Normal 2 4 4 3 2" xfId="787"/>
    <cellStyle name="Normal 2 4 4 4" xfId="788"/>
    <cellStyle name="Normal 2 4 4 4 2" xfId="789"/>
    <cellStyle name="Normal 2 4 4 5" xfId="790"/>
    <cellStyle name="Normal 2 4 5" xfId="791"/>
    <cellStyle name="Normal 2 4 5 2" xfId="792"/>
    <cellStyle name="Normal 2 4 5 2 2" xfId="793"/>
    <cellStyle name="Normal 2 4 5 3" xfId="794"/>
    <cellStyle name="Normal 2 4 5 3 2" xfId="795"/>
    <cellStyle name="Normal 2 4 5 4" xfId="796"/>
    <cellStyle name="Normal 2 4 6" xfId="797"/>
    <cellStyle name="Normal 2 4 6 2" xfId="798"/>
    <cellStyle name="Normal 2 4 7" xfId="799"/>
    <cellStyle name="Normal 2 4 7 2" xfId="800"/>
    <cellStyle name="Normal 2 4 8" xfId="801"/>
    <cellStyle name="Normal 2 4 8 2" xfId="802"/>
    <cellStyle name="Normal 2 4 9" xfId="803"/>
    <cellStyle name="Normal 2 5" xfId="804"/>
    <cellStyle name="Normal 2 5 2" xfId="805"/>
    <cellStyle name="Normal 2 5 2 2" xfId="806"/>
    <cellStyle name="Normal 2 5 2 2 2" xfId="807"/>
    <cellStyle name="Normal 2 5 2 2 2 2" xfId="808"/>
    <cellStyle name="Normal 2 5 2 2 3" xfId="809"/>
    <cellStyle name="Normal 2 5 2 2 3 2" xfId="810"/>
    <cellStyle name="Normal 2 5 2 2 4" xfId="811"/>
    <cellStyle name="Normal 2 5 2 3" xfId="812"/>
    <cellStyle name="Normal 2 5 2 3 2" xfId="813"/>
    <cellStyle name="Normal 2 5 2 4" xfId="814"/>
    <cellStyle name="Normal 2 5 2 4 2" xfId="815"/>
    <cellStyle name="Normal 2 5 2 5" xfId="816"/>
    <cellStyle name="Normal 2 5 2 5 2" xfId="817"/>
    <cellStyle name="Normal 2 5 2 6" xfId="818"/>
    <cellStyle name="Normal 2 5 3" xfId="819"/>
    <cellStyle name="Normal 2 5 3 2" xfId="820"/>
    <cellStyle name="Normal 2 5 3 2 2" xfId="821"/>
    <cellStyle name="Normal 2 5 3 3" xfId="822"/>
    <cellStyle name="Normal 2 5 3 3 2" xfId="823"/>
    <cellStyle name="Normal 2 5 3 4" xfId="824"/>
    <cellStyle name="Normal 2 5 3 4 2" xfId="825"/>
    <cellStyle name="Normal 2 5 3 5" xfId="826"/>
    <cellStyle name="Normal 2 5 4" xfId="827"/>
    <cellStyle name="Normal 2 5 4 2" xfId="828"/>
    <cellStyle name="Normal 2 5 4 2 2" xfId="829"/>
    <cellStyle name="Normal 2 5 4 3" xfId="830"/>
    <cellStyle name="Normal 2 5 4 3 2" xfId="831"/>
    <cellStyle name="Normal 2 5 4 4" xfId="832"/>
    <cellStyle name="Normal 2 5 5" xfId="833"/>
    <cellStyle name="Normal 2 5 5 2" xfId="834"/>
    <cellStyle name="Normal 2 5 6" xfId="835"/>
    <cellStyle name="Normal 2 5 6 2" xfId="836"/>
    <cellStyle name="Normal 2 5 7" xfId="837"/>
    <cellStyle name="Normal 2 5 7 2" xfId="838"/>
    <cellStyle name="Normal 2 5 8" xfId="839"/>
    <cellStyle name="Normal 2 6" xfId="840"/>
    <cellStyle name="Normal 2 6 2" xfId="841"/>
    <cellStyle name="Normal 2 6 2 2" xfId="842"/>
    <cellStyle name="Normal 2 6 2 2 2" xfId="843"/>
    <cellStyle name="Normal 2 6 2 3" xfId="844"/>
    <cellStyle name="Normal 2 6 2 3 2" xfId="845"/>
    <cellStyle name="Normal 2 6 2 4" xfId="846"/>
    <cellStyle name="Normal 2 6 2 4 2" xfId="847"/>
    <cellStyle name="Normal 2 6 2 5" xfId="848"/>
    <cellStyle name="Normal 2 6 3" xfId="849"/>
    <cellStyle name="Normal 2 6 3 2" xfId="850"/>
    <cellStyle name="Normal 2 6 3 2 2" xfId="851"/>
    <cellStyle name="Normal 2 6 3 3" xfId="852"/>
    <cellStyle name="Normal 2 6 3 3 2" xfId="853"/>
    <cellStyle name="Normal 2 6 3 4" xfId="854"/>
    <cellStyle name="Normal 2 6 4" xfId="855"/>
    <cellStyle name="Normal 2 6 4 2" xfId="856"/>
    <cellStyle name="Normal 2 6 5" xfId="857"/>
    <cellStyle name="Normal 2 6 5 2" xfId="858"/>
    <cellStyle name="Normal 2 6 6" xfId="859"/>
    <cellStyle name="Normal 2 6 6 2" xfId="860"/>
    <cellStyle name="Normal 2 6 7" xfId="861"/>
    <cellStyle name="Normal 2 7" xfId="862"/>
    <cellStyle name="Normal 2 7 2" xfId="863"/>
    <cellStyle name="Normal 2 7 2 2" xfId="864"/>
    <cellStyle name="Normal 2 7 2 2 2" xfId="865"/>
    <cellStyle name="Normal 2 7 2 3" xfId="866"/>
    <cellStyle name="Normal 2 7 2 3 2" xfId="867"/>
    <cellStyle name="Normal 2 7 2 4" xfId="868"/>
    <cellStyle name="Normal 2 7 3" xfId="869"/>
    <cellStyle name="Normal 2 7 3 2" xfId="870"/>
    <cellStyle name="Normal 2 7 4" xfId="871"/>
    <cellStyle name="Normal 2 7 4 2" xfId="872"/>
    <cellStyle name="Normal 2 7 5" xfId="873"/>
    <cellStyle name="Normal 2 7 5 2" xfId="874"/>
    <cellStyle name="Normal 2 7 6" xfId="875"/>
    <cellStyle name="Normal 2 8" xfId="876"/>
    <cellStyle name="Normal 2 8 2" xfId="877"/>
    <cellStyle name="Normal 2 8 2 2" xfId="878"/>
    <cellStyle name="Normal 2 8 3" xfId="879"/>
    <cellStyle name="Normal 2 8 3 2" xfId="880"/>
    <cellStyle name="Normal 2 8 4" xfId="881"/>
    <cellStyle name="Normal 2 8 4 2" xfId="882"/>
    <cellStyle name="Normal 2 8 5" xfId="883"/>
    <cellStyle name="Normal 2 9" xfId="884"/>
    <cellStyle name="Normal 2 9 2" xfId="885"/>
    <cellStyle name="Normal 2 9 2 2" xfId="886"/>
    <cellStyle name="Normal 2 9 3" xfId="887"/>
    <cellStyle name="Normal 2 9 3 2" xfId="888"/>
    <cellStyle name="Normal 2 9 4" xfId="889"/>
    <cellStyle name="Normal 3" xfId="890"/>
    <cellStyle name="Normal 4" xfId="891"/>
    <cellStyle name="Normal 5" xfId="892"/>
    <cellStyle name="Normal 5 2" xfId="893"/>
    <cellStyle name="Normal 6" xfId="894"/>
    <cellStyle name="Normal 7" xfId="895"/>
    <cellStyle name="Notas 1" xfId="896"/>
    <cellStyle name="Notas 1 2" xfId="897"/>
    <cellStyle name="Notas 1 2 2" xfId="898"/>
    <cellStyle name="Notas 1 2 2 2" xfId="899"/>
    <cellStyle name="Notas 1 2 2 2 2" xfId="900"/>
    <cellStyle name="Notas 1 2 2 3" xfId="901"/>
    <cellStyle name="Notas 1 2 2 3 2" xfId="902"/>
    <cellStyle name="Notas 1 2 2 4" xfId="903"/>
    <cellStyle name="Notas 1 2 2 4 2" xfId="904"/>
    <cellStyle name="Notas 1 2 2 5" xfId="905"/>
    <cellStyle name="Notas 1 2 2 5 2" xfId="906"/>
    <cellStyle name="Notas 1 2 2 6" xfId="907"/>
    <cellStyle name="Notas 1 2 3" xfId="908"/>
    <cellStyle name="Notas 1 2 3 2" xfId="909"/>
    <cellStyle name="Notas 1 2 3 2 2" xfId="910"/>
    <cellStyle name="Notas 1 2 3 3" xfId="911"/>
    <cellStyle name="Notas 1 2 3 3 2" xfId="912"/>
    <cellStyle name="Notas 1 2 3 4" xfId="913"/>
    <cellStyle name="Notas 1 2 3 4 2" xfId="914"/>
    <cellStyle name="Notas 1 2 3 5" xfId="915"/>
    <cellStyle name="Notas 1 2 3 5 2" xfId="916"/>
    <cellStyle name="Notas 1 2 3 6" xfId="917"/>
    <cellStyle name="Notas 1 2 4" xfId="918"/>
    <cellStyle name="Notas 1 2 4 2" xfId="919"/>
    <cellStyle name="Notas 1 2 5" xfId="920"/>
    <cellStyle name="Notas 1 2 5 2" xfId="921"/>
    <cellStyle name="Notas 1 2 6" xfId="922"/>
    <cellStyle name="Notas 1 2 6 2" xfId="923"/>
    <cellStyle name="Notas 1 2 7" xfId="924"/>
    <cellStyle name="Notas 1 2 7 2" xfId="925"/>
    <cellStyle name="Notas 1 2 8" xfId="926"/>
    <cellStyle name="Notas 1 2 8 2" xfId="927"/>
    <cellStyle name="Notas 1 2 9" xfId="928"/>
    <cellStyle name="Notas 1 3" xfId="929"/>
    <cellStyle name="Notas 1 3 2" xfId="930"/>
    <cellStyle name="Notas 1 3 2 2" xfId="931"/>
    <cellStyle name="Notas 1 3 2 2 2" xfId="932"/>
    <cellStyle name="Notas 1 3 2 3" xfId="933"/>
    <cellStyle name="Notas 1 3 2 3 2" xfId="934"/>
    <cellStyle name="Notas 1 3 2 4" xfId="935"/>
    <cellStyle name="Notas 1 3 2 4 2" xfId="936"/>
    <cellStyle name="Notas 1 3 2 5" xfId="937"/>
    <cellStyle name="Notas 1 3 2 5 2" xfId="938"/>
    <cellStyle name="Notas 1 3 2 6" xfId="939"/>
    <cellStyle name="Notas 1 3 3" xfId="940"/>
    <cellStyle name="Notas 1 3 3 2" xfId="941"/>
    <cellStyle name="Notas 1 3 4" xfId="942"/>
    <cellStyle name="Notas 1 3 4 2" xfId="943"/>
    <cellStyle name="Notas 1 3 5" xfId="944"/>
    <cellStyle name="Notas 1 3 5 2" xfId="945"/>
    <cellStyle name="Notas 1 3 6" xfId="946"/>
    <cellStyle name="Notas 1 3 6 2" xfId="947"/>
    <cellStyle name="Notas 1 3 7" xfId="948"/>
    <cellStyle name="Notas 1 3 7 2" xfId="949"/>
    <cellStyle name="Notas 1 3 8" xfId="950"/>
    <cellStyle name="Notas 1 4" xfId="951"/>
    <cellStyle name="Notas 1 4 2" xfId="952"/>
    <cellStyle name="Notas 1 4 2 2" xfId="953"/>
    <cellStyle name="Notas 1 4 3" xfId="954"/>
    <cellStyle name="Notas 1 4 3 2" xfId="955"/>
    <cellStyle name="Notas 1 4 4" xfId="956"/>
    <cellStyle name="Notas 1 4 4 2" xfId="957"/>
    <cellStyle name="Notas 1 4 5" xfId="958"/>
    <cellStyle name="Notas 1 4 5 2" xfId="959"/>
    <cellStyle name="Notas 1 4 6" xfId="960"/>
    <cellStyle name="Notas 1 5" xfId="961"/>
    <cellStyle name="Notas 1 5 2" xfId="962"/>
    <cellStyle name="Notas 1 5 2 2" xfId="963"/>
    <cellStyle name="Notas 1 5 3" xfId="964"/>
    <cellStyle name="Notas 1 5 3 2" xfId="965"/>
    <cellStyle name="Notas 1 5 4" xfId="966"/>
    <cellStyle name="Notas 1 5 4 2" xfId="967"/>
    <cellStyle name="Notas 1 5 5" xfId="968"/>
    <cellStyle name="Notas 1 5 5 2" xfId="969"/>
    <cellStyle name="Notas 1 5 6" xfId="970"/>
    <cellStyle name="Notas 1 6" xfId="971"/>
    <cellStyle name="Notas 1 6 2" xfId="972"/>
    <cellStyle name="Notas 1 7" xfId="973"/>
    <cellStyle name="Notas 1 7 2" xfId="974"/>
    <cellStyle name="Notas 1 8" xfId="975"/>
    <cellStyle name="Notas 1 8 2" xfId="976"/>
    <cellStyle name="Notas 1 9" xfId="977"/>
    <cellStyle name="Notas 2" xfId="978"/>
    <cellStyle name="Notas 2 2" xfId="979"/>
    <cellStyle name="Notas 2 2 2" xfId="980"/>
    <cellStyle name="Notas 2 2 2 2" xfId="981"/>
    <cellStyle name="Notas 2 2 2 2 2" xfId="982"/>
    <cellStyle name="Notas 2 2 2 3" xfId="983"/>
    <cellStyle name="Notas 2 2 2 3 2" xfId="984"/>
    <cellStyle name="Notas 2 2 2 4" xfId="985"/>
    <cellStyle name="Notas 2 2 2 4 2" xfId="986"/>
    <cellStyle name="Notas 2 2 2 5" xfId="987"/>
    <cellStyle name="Notas 2 2 2 5 2" xfId="988"/>
    <cellStyle name="Notas 2 2 2 6" xfId="989"/>
    <cellStyle name="Notas 2 2 3" xfId="990"/>
    <cellStyle name="Notas 2 2 3 2" xfId="991"/>
    <cellStyle name="Notas 2 2 3 2 2" xfId="992"/>
    <cellStyle name="Notas 2 2 3 3" xfId="993"/>
    <cellStyle name="Notas 2 2 3 3 2" xfId="994"/>
    <cellStyle name="Notas 2 2 3 4" xfId="995"/>
    <cellStyle name="Notas 2 2 3 4 2" xfId="996"/>
    <cellStyle name="Notas 2 2 3 5" xfId="997"/>
    <cellStyle name="Notas 2 2 3 5 2" xfId="998"/>
    <cellStyle name="Notas 2 2 3 6" xfId="999"/>
    <cellStyle name="Notas 2 2 4" xfId="1000"/>
    <cellStyle name="Notas 2 2 4 2" xfId="1001"/>
    <cellStyle name="Notas 2 2 5" xfId="1002"/>
    <cellStyle name="Notas 2 2 5 2" xfId="1003"/>
    <cellStyle name="Notas 2 2 6" xfId="1004"/>
    <cellStyle name="Notas 2 2 6 2" xfId="1005"/>
    <cellStyle name="Notas 2 2 7" xfId="1006"/>
    <cellStyle name="Notas 2 2 7 2" xfId="1007"/>
    <cellStyle name="Notas 2 2 8" xfId="1008"/>
    <cellStyle name="Notas 2 2 8 2" xfId="1009"/>
    <cellStyle name="Notas 2 2 9" xfId="1010"/>
    <cellStyle name="Notas 2 3" xfId="1011"/>
    <cellStyle name="Notas 2 3 2" xfId="1012"/>
    <cellStyle name="Notas 2 3 2 2" xfId="1013"/>
    <cellStyle name="Notas 2 3 2 2 2" xfId="1014"/>
    <cellStyle name="Notas 2 3 2 3" xfId="1015"/>
    <cellStyle name="Notas 2 3 2 3 2" xfId="1016"/>
    <cellStyle name="Notas 2 3 2 4" xfId="1017"/>
    <cellStyle name="Notas 2 3 2 4 2" xfId="1018"/>
    <cellStyle name="Notas 2 3 2 5" xfId="1019"/>
    <cellStyle name="Notas 2 3 2 5 2" xfId="1020"/>
    <cellStyle name="Notas 2 3 2 6" xfId="1021"/>
    <cellStyle name="Notas 2 3 3" xfId="1022"/>
    <cellStyle name="Notas 2 3 3 2" xfId="1023"/>
    <cellStyle name="Notas 2 3 4" xfId="1024"/>
    <cellStyle name="Notas 2 3 4 2" xfId="1025"/>
    <cellStyle name="Notas 2 3 5" xfId="1026"/>
    <cellStyle name="Notas 2 3 5 2" xfId="1027"/>
    <cellStyle name="Notas 2 3 6" xfId="1028"/>
    <cellStyle name="Notas 2 3 6 2" xfId="1029"/>
    <cellStyle name="Notas 2 3 7" xfId="1030"/>
    <cellStyle name="Notas 2 3 7 2" xfId="1031"/>
    <cellStyle name="Notas 2 3 8" xfId="1032"/>
    <cellStyle name="Notas 2 4" xfId="1033"/>
    <cellStyle name="Notas 2 4 2" xfId="1034"/>
    <cellStyle name="Notas 2 4 2 2" xfId="1035"/>
    <cellStyle name="Notas 2 4 3" xfId="1036"/>
    <cellStyle name="Notas 2 4 3 2" xfId="1037"/>
    <cellStyle name="Notas 2 4 4" xfId="1038"/>
    <cellStyle name="Notas 2 4 4 2" xfId="1039"/>
    <cellStyle name="Notas 2 4 5" xfId="1040"/>
    <cellStyle name="Notas 2 4 5 2" xfId="1041"/>
    <cellStyle name="Notas 2 4 6" xfId="1042"/>
    <cellStyle name="Notas 2 5" xfId="1043"/>
    <cellStyle name="Notas 2 5 2" xfId="1044"/>
    <cellStyle name="Notas 2 5 2 2" xfId="1045"/>
    <cellStyle name="Notas 2 5 3" xfId="1046"/>
    <cellStyle name="Notas 2 5 3 2" xfId="1047"/>
    <cellStyle name="Notas 2 5 4" xfId="1048"/>
    <cellStyle name="Notas 2 5 4 2" xfId="1049"/>
    <cellStyle name="Notas 2 5 5" xfId="1050"/>
    <cellStyle name="Notas 2 5 5 2" xfId="1051"/>
    <cellStyle name="Notas 2 5 6" xfId="1052"/>
    <cellStyle name="Notas 2 6" xfId="1053"/>
    <cellStyle name="Notas 2 6 2" xfId="1054"/>
    <cellStyle name="Notas 2 7" xfId="1055"/>
    <cellStyle name="Notas 2 7 2" xfId="1056"/>
    <cellStyle name="Notas 2 8" xfId="1057"/>
    <cellStyle name="Notas 2 8 2" xfId="1058"/>
    <cellStyle name="Notas 2 9" xfId="1059"/>
    <cellStyle name="Notas 3" xfId="1060"/>
    <cellStyle name="Notas 3 2" xfId="1061"/>
    <cellStyle name="Notas 3 2 2" xfId="1062"/>
    <cellStyle name="Notas 3 2 2 2" xfId="1063"/>
    <cellStyle name="Notas 3 2 2 2 2" xfId="1064"/>
    <cellStyle name="Notas 3 2 2 3" xfId="1065"/>
    <cellStyle name="Notas 3 2 2 3 2" xfId="1066"/>
    <cellStyle name="Notas 3 2 2 4" xfId="1067"/>
    <cellStyle name="Notas 3 2 2 4 2" xfId="1068"/>
    <cellStyle name="Notas 3 2 2 5" xfId="1069"/>
    <cellStyle name="Notas 3 2 2 5 2" xfId="1070"/>
    <cellStyle name="Notas 3 2 2 6" xfId="1071"/>
    <cellStyle name="Notas 3 2 3" xfId="1072"/>
    <cellStyle name="Notas 3 2 3 2" xfId="1073"/>
    <cellStyle name="Notas 3 2 3 2 2" xfId="1074"/>
    <cellStyle name="Notas 3 2 3 3" xfId="1075"/>
    <cellStyle name="Notas 3 2 3 3 2" xfId="1076"/>
    <cellStyle name="Notas 3 2 3 4" xfId="1077"/>
    <cellStyle name="Notas 3 2 3 4 2" xfId="1078"/>
    <cellStyle name="Notas 3 2 3 5" xfId="1079"/>
    <cellStyle name="Notas 3 2 3 5 2" xfId="1080"/>
    <cellStyle name="Notas 3 2 3 6" xfId="1081"/>
    <cellStyle name="Notas 3 2 4" xfId="1082"/>
    <cellStyle name="Notas 3 2 4 2" xfId="1083"/>
    <cellStyle name="Notas 3 2 5" xfId="1084"/>
    <cellStyle name="Notas 3 2 5 2" xfId="1085"/>
    <cellStyle name="Notas 3 2 6" xfId="1086"/>
    <cellStyle name="Notas 3 2 6 2" xfId="1087"/>
    <cellStyle name="Notas 3 2 7" xfId="1088"/>
    <cellStyle name="Notas 3 2 7 2" xfId="1089"/>
    <cellStyle name="Notas 3 2 8" xfId="1090"/>
    <cellStyle name="Notas 3 2 8 2" xfId="1091"/>
    <cellStyle name="Notas 3 2 9" xfId="1092"/>
    <cellStyle name="Notas 3 3" xfId="1093"/>
    <cellStyle name="Notas 3 3 2" xfId="1094"/>
    <cellStyle name="Notas 3 3 2 2" xfId="1095"/>
    <cellStyle name="Notas 3 3 2 2 2" xfId="1096"/>
    <cellStyle name="Notas 3 3 2 3" xfId="1097"/>
    <cellStyle name="Notas 3 3 2 3 2" xfId="1098"/>
    <cellStyle name="Notas 3 3 2 4" xfId="1099"/>
    <cellStyle name="Notas 3 3 2 4 2" xfId="1100"/>
    <cellStyle name="Notas 3 3 2 5" xfId="1101"/>
    <cellStyle name="Notas 3 3 2 5 2" xfId="1102"/>
    <cellStyle name="Notas 3 3 2 6" xfId="1103"/>
    <cellStyle name="Notas 3 3 3" xfId="1104"/>
    <cellStyle name="Notas 3 3 3 2" xfId="1105"/>
    <cellStyle name="Notas 3 3 4" xfId="1106"/>
    <cellStyle name="Notas 3 3 4 2" xfId="1107"/>
    <cellStyle name="Notas 3 3 5" xfId="1108"/>
    <cellStyle name="Notas 3 3 5 2" xfId="1109"/>
    <cellStyle name="Notas 3 3 6" xfId="1110"/>
    <cellStyle name="Notas 3 3 6 2" xfId="1111"/>
    <cellStyle name="Notas 3 3 7" xfId="1112"/>
    <cellStyle name="Notas 3 3 7 2" xfId="1113"/>
    <cellStyle name="Notas 3 3 8" xfId="1114"/>
    <cellStyle name="Notas 3 4" xfId="1115"/>
    <cellStyle name="Notas 3 4 2" xfId="1116"/>
    <cellStyle name="Notas 3 4 2 2" xfId="1117"/>
    <cellStyle name="Notas 3 4 3" xfId="1118"/>
    <cellStyle name="Notas 3 4 3 2" xfId="1119"/>
    <cellStyle name="Notas 3 4 4" xfId="1120"/>
    <cellStyle name="Notas 3 4 4 2" xfId="1121"/>
    <cellStyle name="Notas 3 4 5" xfId="1122"/>
    <cellStyle name="Notas 3 4 5 2" xfId="1123"/>
    <cellStyle name="Notas 3 4 6" xfId="1124"/>
    <cellStyle name="Notas 3 5" xfId="1125"/>
    <cellStyle name="Notas 3 5 2" xfId="1126"/>
    <cellStyle name="Notas 3 5 2 2" xfId="1127"/>
    <cellStyle name="Notas 3 5 3" xfId="1128"/>
    <cellStyle name="Notas 3 5 3 2" xfId="1129"/>
    <cellStyle name="Notas 3 5 4" xfId="1130"/>
    <cellStyle name="Notas 3 5 4 2" xfId="1131"/>
    <cellStyle name="Notas 3 5 5" xfId="1132"/>
    <cellStyle name="Notas 3 5 5 2" xfId="1133"/>
    <cellStyle name="Notas 3 5 6" xfId="1134"/>
    <cellStyle name="Notas 3 6" xfId="1135"/>
    <cellStyle name="Notas 3 6 2" xfId="1136"/>
    <cellStyle name="Notas 3 7" xfId="1137"/>
    <cellStyle name="Notas 3 7 2" xfId="1138"/>
    <cellStyle name="Notas 3 8" xfId="1139"/>
    <cellStyle name="Notas 3 8 2" xfId="1140"/>
    <cellStyle name="Notas 3 9" xfId="1141"/>
    <cellStyle name="Porcentual 2" xfId="1143"/>
    <cellStyle name="Porcentual 3" xfId="1144"/>
    <cellStyle name="Prozent" xfId="1142" builtinId="5"/>
    <cellStyle name="Salida 1" xfId="1145"/>
    <cellStyle name="Salida 1 2" xfId="1146"/>
    <cellStyle name="Salida 1 2 2" xfId="1147"/>
    <cellStyle name="Salida 1 2 2 2" xfId="1148"/>
    <cellStyle name="Salida 1 2 2 2 2" xfId="1149"/>
    <cellStyle name="Salida 1 2 2 3" xfId="1150"/>
    <cellStyle name="Salida 1 2 2 3 2" xfId="1151"/>
    <cellStyle name="Salida 1 2 2 4" xfId="1152"/>
    <cellStyle name="Salida 1 2 3" xfId="1153"/>
    <cellStyle name="Salida 1 2 3 2" xfId="1154"/>
    <cellStyle name="Salida 1 2 4" xfId="1155"/>
    <cellStyle name="Salida 1 2 4 2" xfId="1156"/>
    <cellStyle name="Salida 1 2 5" xfId="1157"/>
    <cellStyle name="Salida 1 3" xfId="1158"/>
    <cellStyle name="Salida 1 3 2" xfId="1159"/>
    <cellStyle name="Salida 1 3 2 2" xfId="1160"/>
    <cellStyle name="Salida 1 3 3" xfId="1161"/>
    <cellStyle name="Salida 1 3 3 2" xfId="1162"/>
    <cellStyle name="Salida 1 3 4" xfId="1163"/>
    <cellStyle name="Salida 1 4" xfId="1164"/>
    <cellStyle name="Salida 1 4 2" xfId="1165"/>
    <cellStyle name="Salida 1 5" xfId="1166"/>
    <cellStyle name="Salida 1 5 2" xfId="1167"/>
    <cellStyle name="Salida 1 6" xfId="1168"/>
    <cellStyle name="Salida 2" xfId="1169"/>
    <cellStyle name="Salida 2 2" xfId="1170"/>
    <cellStyle name="Salida 2 2 2" xfId="1171"/>
    <cellStyle name="Salida 2 2 2 2" xfId="1172"/>
    <cellStyle name="Salida 2 2 2 2 2" xfId="1173"/>
    <cellStyle name="Salida 2 2 2 3" xfId="1174"/>
    <cellStyle name="Salida 2 2 2 3 2" xfId="1175"/>
    <cellStyle name="Salida 2 2 2 4" xfId="1176"/>
    <cellStyle name="Salida 2 2 3" xfId="1177"/>
    <cellStyle name="Salida 2 2 3 2" xfId="1178"/>
    <cellStyle name="Salida 2 2 4" xfId="1179"/>
    <cellStyle name="Salida 2 2 4 2" xfId="1180"/>
    <cellStyle name="Salida 2 2 5" xfId="1181"/>
    <cellStyle name="Salida 2 3" xfId="1182"/>
    <cellStyle name="Salida 2 3 2" xfId="1183"/>
    <cellStyle name="Salida 2 3 2 2" xfId="1184"/>
    <cellStyle name="Salida 2 3 3" xfId="1185"/>
    <cellStyle name="Salida 2 3 3 2" xfId="1186"/>
    <cellStyle name="Salida 2 3 4" xfId="1187"/>
    <cellStyle name="Salida 2 4" xfId="1188"/>
    <cellStyle name="Salida 2 4 2" xfId="1189"/>
    <cellStyle name="Salida 2 5" xfId="1190"/>
    <cellStyle name="Salida 2 5 2" xfId="1191"/>
    <cellStyle name="Salida 2 6" xfId="1192"/>
    <cellStyle name="Salida 3" xfId="1193"/>
    <cellStyle name="Salida 3 2" xfId="1194"/>
    <cellStyle name="Salida 3 2 2" xfId="1195"/>
    <cellStyle name="Salida 3 2 2 2" xfId="1196"/>
    <cellStyle name="Salida 3 2 2 2 2" xfId="1197"/>
    <cellStyle name="Salida 3 2 2 3" xfId="1198"/>
    <cellStyle name="Salida 3 2 2 3 2" xfId="1199"/>
    <cellStyle name="Salida 3 2 2 4" xfId="1200"/>
    <cellStyle name="Salida 3 2 3" xfId="1201"/>
    <cellStyle name="Salida 3 2 3 2" xfId="1202"/>
    <cellStyle name="Salida 3 2 4" xfId="1203"/>
    <cellStyle name="Salida 3 2 4 2" xfId="1204"/>
    <cellStyle name="Salida 3 2 5" xfId="1205"/>
    <cellStyle name="Salida 3 3" xfId="1206"/>
    <cellStyle name="Salida 3 3 2" xfId="1207"/>
    <cellStyle name="Salida 3 3 2 2" xfId="1208"/>
    <cellStyle name="Salida 3 3 3" xfId="1209"/>
    <cellStyle name="Salida 3 3 3 2" xfId="1210"/>
    <cellStyle name="Salida 3 3 4" xfId="1211"/>
    <cellStyle name="Salida 3 4" xfId="1212"/>
    <cellStyle name="Salida 3 4 2" xfId="1213"/>
    <cellStyle name="Salida 3 5" xfId="1214"/>
    <cellStyle name="Salida 3 5 2" xfId="1215"/>
    <cellStyle name="Salida 3 6" xfId="1216"/>
    <cellStyle name="Standard" xfId="0" builtinId="0"/>
    <cellStyle name="Texto de advertencia 1" xfId="1217"/>
    <cellStyle name="Texto de advertencia 2" xfId="1218"/>
    <cellStyle name="Texto de advertencia 3" xfId="1219"/>
    <cellStyle name="Texto explicativo 1" xfId="1220"/>
    <cellStyle name="Texto explicativo 2" xfId="1221"/>
    <cellStyle name="Texto explicativo 3" xfId="1222"/>
    <cellStyle name="Título 1 1" xfId="1223"/>
    <cellStyle name="Título 1 2" xfId="1224"/>
    <cellStyle name="Título 1 3" xfId="1225"/>
    <cellStyle name="Título 2 1" xfId="1226"/>
    <cellStyle name="Título 2 2" xfId="1227"/>
    <cellStyle name="Título 2 3" xfId="1228"/>
    <cellStyle name="Título 3 1" xfId="1229"/>
    <cellStyle name="Título 3 2" xfId="1230"/>
    <cellStyle name="Título 3 3" xfId="1231"/>
    <cellStyle name="Título 4" xfId="1232"/>
    <cellStyle name="Título 5" xfId="1233"/>
    <cellStyle name="Título 6" xfId="1234"/>
    <cellStyle name="Total 1" xfId="1235"/>
    <cellStyle name="Total 1 10" xfId="1236"/>
    <cellStyle name="Total 1 10 2" xfId="1237"/>
    <cellStyle name="Total 1 11" xfId="1238"/>
    <cellStyle name="Total 1 11 2" xfId="1239"/>
    <cellStyle name="Total 1 12" xfId="1240"/>
    <cellStyle name="Total 1 2" xfId="1241"/>
    <cellStyle name="Total 1 2 2" xfId="1242"/>
    <cellStyle name="Total 1 2 2 2" xfId="1243"/>
    <cellStyle name="Total 1 2 2 2 2" xfId="1244"/>
    <cellStyle name="Total 1 2 2 3" xfId="1245"/>
    <cellStyle name="Total 1 2 2 3 2" xfId="1246"/>
    <cellStyle name="Total 1 2 2 4" xfId="1247"/>
    <cellStyle name="Total 1 2 2 4 2" xfId="1248"/>
    <cellStyle name="Total 1 2 2 5" xfId="1249"/>
    <cellStyle name="Total 1 2 2 5 2" xfId="1250"/>
    <cellStyle name="Total 1 2 2 6" xfId="1251"/>
    <cellStyle name="Total 1 2 3" xfId="1252"/>
    <cellStyle name="Total 1 2 3 2" xfId="1253"/>
    <cellStyle name="Total 1 2 3 2 2" xfId="1254"/>
    <cellStyle name="Total 1 2 3 3" xfId="1255"/>
    <cellStyle name="Total 1 2 3 3 2" xfId="1256"/>
    <cellStyle name="Total 1 2 3 4" xfId="1257"/>
    <cellStyle name="Total 1 2 3 4 2" xfId="1258"/>
    <cellStyle name="Total 1 2 3 5" xfId="1259"/>
    <cellStyle name="Total 1 2 3 5 2" xfId="1260"/>
    <cellStyle name="Total 1 2 3 6" xfId="1261"/>
    <cellStyle name="Total 1 2 4" xfId="1262"/>
    <cellStyle name="Total 1 2 4 2" xfId="1263"/>
    <cellStyle name="Total 1 2 5" xfId="1264"/>
    <cellStyle name="Total 1 2 5 2" xfId="1265"/>
    <cellStyle name="Total 1 2 6" xfId="1266"/>
    <cellStyle name="Total 1 2 6 2" xfId="1267"/>
    <cellStyle name="Total 1 2 7" xfId="1268"/>
    <cellStyle name="Total 1 2 7 2" xfId="1269"/>
    <cellStyle name="Total 1 2 8" xfId="1270"/>
    <cellStyle name="Total 1 2 8 2" xfId="1271"/>
    <cellStyle name="Total 1 2 9" xfId="1272"/>
    <cellStyle name="Total 1 3" xfId="1273"/>
    <cellStyle name="Total 1 3 2" xfId="1274"/>
    <cellStyle name="Total 1 3 2 2" xfId="1275"/>
    <cellStyle name="Total 1 3 2 2 2" xfId="1276"/>
    <cellStyle name="Total 1 3 2 3" xfId="1277"/>
    <cellStyle name="Total 1 3 2 3 2" xfId="1278"/>
    <cellStyle name="Total 1 3 2 4" xfId="1279"/>
    <cellStyle name="Total 1 3 2 4 2" xfId="1280"/>
    <cellStyle name="Total 1 3 2 5" xfId="1281"/>
    <cellStyle name="Total 1 3 2 5 2" xfId="1282"/>
    <cellStyle name="Total 1 3 2 6" xfId="1283"/>
    <cellStyle name="Total 1 3 3" xfId="1284"/>
    <cellStyle name="Total 1 3 3 2" xfId="1285"/>
    <cellStyle name="Total 1 3 3 2 2" xfId="1286"/>
    <cellStyle name="Total 1 3 3 3" xfId="1287"/>
    <cellStyle name="Total 1 3 3 3 2" xfId="1288"/>
    <cellStyle name="Total 1 3 3 4" xfId="1289"/>
    <cellStyle name="Total 1 3 3 4 2" xfId="1290"/>
    <cellStyle name="Total 1 3 3 5" xfId="1291"/>
    <cellStyle name="Total 1 3 3 5 2" xfId="1292"/>
    <cellStyle name="Total 1 3 3 6" xfId="1293"/>
    <cellStyle name="Total 1 3 4" xfId="1294"/>
    <cellStyle name="Total 1 3 4 2" xfId="1295"/>
    <cellStyle name="Total 1 3 5" xfId="1296"/>
    <cellStyle name="Total 1 3 5 2" xfId="1297"/>
    <cellStyle name="Total 1 3 6" xfId="1298"/>
    <cellStyle name="Total 1 3 6 2" xfId="1299"/>
    <cellStyle name="Total 1 3 7" xfId="1300"/>
    <cellStyle name="Total 1 3 7 2" xfId="1301"/>
    <cellStyle name="Total 1 3 8" xfId="1302"/>
    <cellStyle name="Total 1 3 8 2" xfId="1303"/>
    <cellStyle name="Total 1 3 9" xfId="1304"/>
    <cellStyle name="Total 1 4" xfId="1305"/>
    <cellStyle name="Total 1 4 2" xfId="1306"/>
    <cellStyle name="Total 1 4 2 2" xfId="1307"/>
    <cellStyle name="Total 1 4 2 2 2" xfId="1308"/>
    <cellStyle name="Total 1 4 2 3" xfId="1309"/>
    <cellStyle name="Total 1 4 2 3 2" xfId="1310"/>
    <cellStyle name="Total 1 4 2 4" xfId="1311"/>
    <cellStyle name="Total 1 4 2 4 2" xfId="1312"/>
    <cellStyle name="Total 1 4 2 5" xfId="1313"/>
    <cellStyle name="Total 1 4 2 5 2" xfId="1314"/>
    <cellStyle name="Total 1 4 2 6" xfId="1315"/>
    <cellStyle name="Total 1 4 3" xfId="1316"/>
    <cellStyle name="Total 1 4 3 2" xfId="1317"/>
    <cellStyle name="Total 1 4 4" xfId="1318"/>
    <cellStyle name="Total 1 4 4 2" xfId="1319"/>
    <cellStyle name="Total 1 4 5" xfId="1320"/>
    <cellStyle name="Total 1 4 5 2" xfId="1321"/>
    <cellStyle name="Total 1 4 6" xfId="1322"/>
    <cellStyle name="Total 1 4 6 2" xfId="1323"/>
    <cellStyle name="Total 1 4 7" xfId="1324"/>
    <cellStyle name="Total 1 4 7 2" xfId="1325"/>
    <cellStyle name="Total 1 4 8" xfId="1326"/>
    <cellStyle name="Total 1 5" xfId="1327"/>
    <cellStyle name="Total 1 5 2" xfId="1328"/>
    <cellStyle name="Total 1 5 2 2" xfId="1329"/>
    <cellStyle name="Total 1 5 3" xfId="1330"/>
    <cellStyle name="Total 1 5 3 2" xfId="1331"/>
    <cellStyle name="Total 1 5 4" xfId="1332"/>
    <cellStyle name="Total 1 5 4 2" xfId="1333"/>
    <cellStyle name="Total 1 5 5" xfId="1334"/>
    <cellStyle name="Total 1 5 5 2" xfId="1335"/>
    <cellStyle name="Total 1 5 6" xfId="1336"/>
    <cellStyle name="Total 1 6" xfId="1337"/>
    <cellStyle name="Total 1 6 2" xfId="1338"/>
    <cellStyle name="Total 1 6 2 2" xfId="1339"/>
    <cellStyle name="Total 1 6 3" xfId="1340"/>
    <cellStyle name="Total 1 6 3 2" xfId="1341"/>
    <cellStyle name="Total 1 6 4" xfId="1342"/>
    <cellStyle name="Total 1 6 4 2" xfId="1343"/>
    <cellStyle name="Total 1 6 5" xfId="1344"/>
    <cellStyle name="Total 1 6 5 2" xfId="1345"/>
    <cellStyle name="Total 1 6 6" xfId="1346"/>
    <cellStyle name="Total 1 7" xfId="1347"/>
    <cellStyle name="Total 1 7 2" xfId="1348"/>
    <cellStyle name="Total 1 8" xfId="1349"/>
    <cellStyle name="Total 1 8 2" xfId="1350"/>
    <cellStyle name="Total 1 9" xfId="1351"/>
    <cellStyle name="Total 1 9 2" xfId="1352"/>
    <cellStyle name="Total 2" xfId="1353"/>
    <cellStyle name="Total 2 10" xfId="1354"/>
    <cellStyle name="Total 2 10 2" xfId="1355"/>
    <cellStyle name="Total 2 11" xfId="1356"/>
    <cellStyle name="Total 2 11 2" xfId="1357"/>
    <cellStyle name="Total 2 12" xfId="1358"/>
    <cellStyle name="Total 2 2" xfId="1359"/>
    <cellStyle name="Total 2 2 2" xfId="1360"/>
    <cellStyle name="Total 2 2 2 2" xfId="1361"/>
    <cellStyle name="Total 2 2 2 2 2" xfId="1362"/>
    <cellStyle name="Total 2 2 2 3" xfId="1363"/>
    <cellStyle name="Total 2 2 2 3 2" xfId="1364"/>
    <cellStyle name="Total 2 2 2 4" xfId="1365"/>
    <cellStyle name="Total 2 2 2 4 2" xfId="1366"/>
    <cellStyle name="Total 2 2 2 5" xfId="1367"/>
    <cellStyle name="Total 2 2 2 5 2" xfId="1368"/>
    <cellStyle name="Total 2 2 2 6" xfId="1369"/>
    <cellStyle name="Total 2 2 3" xfId="1370"/>
    <cellStyle name="Total 2 2 3 2" xfId="1371"/>
    <cellStyle name="Total 2 2 3 2 2" xfId="1372"/>
    <cellStyle name="Total 2 2 3 3" xfId="1373"/>
    <cellStyle name="Total 2 2 3 3 2" xfId="1374"/>
    <cellStyle name="Total 2 2 3 4" xfId="1375"/>
    <cellStyle name="Total 2 2 3 4 2" xfId="1376"/>
    <cellStyle name="Total 2 2 3 5" xfId="1377"/>
    <cellStyle name="Total 2 2 3 5 2" xfId="1378"/>
    <cellStyle name="Total 2 2 3 6" xfId="1379"/>
    <cellStyle name="Total 2 2 4" xfId="1380"/>
    <cellStyle name="Total 2 2 4 2" xfId="1381"/>
    <cellStyle name="Total 2 2 5" xfId="1382"/>
    <cellStyle name="Total 2 2 5 2" xfId="1383"/>
    <cellStyle name="Total 2 2 6" xfId="1384"/>
    <cellStyle name="Total 2 2 6 2" xfId="1385"/>
    <cellStyle name="Total 2 2 7" xfId="1386"/>
    <cellStyle name="Total 2 2 7 2" xfId="1387"/>
    <cellStyle name="Total 2 2 8" xfId="1388"/>
    <cellStyle name="Total 2 2 8 2" xfId="1389"/>
    <cellStyle name="Total 2 2 9" xfId="1390"/>
    <cellStyle name="Total 2 3" xfId="1391"/>
    <cellStyle name="Total 2 3 2" xfId="1392"/>
    <cellStyle name="Total 2 3 2 2" xfId="1393"/>
    <cellStyle name="Total 2 3 2 2 2" xfId="1394"/>
    <cellStyle name="Total 2 3 2 3" xfId="1395"/>
    <cellStyle name="Total 2 3 2 3 2" xfId="1396"/>
    <cellStyle name="Total 2 3 2 4" xfId="1397"/>
    <cellStyle name="Total 2 3 2 4 2" xfId="1398"/>
    <cellStyle name="Total 2 3 2 5" xfId="1399"/>
    <cellStyle name="Total 2 3 2 5 2" xfId="1400"/>
    <cellStyle name="Total 2 3 2 6" xfId="1401"/>
    <cellStyle name="Total 2 3 3" xfId="1402"/>
    <cellStyle name="Total 2 3 3 2" xfId="1403"/>
    <cellStyle name="Total 2 3 3 2 2" xfId="1404"/>
    <cellStyle name="Total 2 3 3 3" xfId="1405"/>
    <cellStyle name="Total 2 3 3 3 2" xfId="1406"/>
    <cellStyle name="Total 2 3 3 4" xfId="1407"/>
    <cellStyle name="Total 2 3 3 4 2" xfId="1408"/>
    <cellStyle name="Total 2 3 3 5" xfId="1409"/>
    <cellStyle name="Total 2 3 3 5 2" xfId="1410"/>
    <cellStyle name="Total 2 3 3 6" xfId="1411"/>
    <cellStyle name="Total 2 3 4" xfId="1412"/>
    <cellStyle name="Total 2 3 4 2" xfId="1413"/>
    <cellStyle name="Total 2 3 5" xfId="1414"/>
    <cellStyle name="Total 2 3 5 2" xfId="1415"/>
    <cellStyle name="Total 2 3 6" xfId="1416"/>
    <cellStyle name="Total 2 3 6 2" xfId="1417"/>
    <cellStyle name="Total 2 3 7" xfId="1418"/>
    <cellStyle name="Total 2 3 7 2" xfId="1419"/>
    <cellStyle name="Total 2 3 8" xfId="1420"/>
    <cellStyle name="Total 2 3 8 2" xfId="1421"/>
    <cellStyle name="Total 2 3 9" xfId="1422"/>
    <cellStyle name="Total 2 4" xfId="1423"/>
    <cellStyle name="Total 2 4 2" xfId="1424"/>
    <cellStyle name="Total 2 4 2 2" xfId="1425"/>
    <cellStyle name="Total 2 4 2 2 2" xfId="1426"/>
    <cellStyle name="Total 2 4 2 3" xfId="1427"/>
    <cellStyle name="Total 2 4 2 3 2" xfId="1428"/>
    <cellStyle name="Total 2 4 2 4" xfId="1429"/>
    <cellStyle name="Total 2 4 2 4 2" xfId="1430"/>
    <cellStyle name="Total 2 4 2 5" xfId="1431"/>
    <cellStyle name="Total 2 4 2 5 2" xfId="1432"/>
    <cellStyle name="Total 2 4 2 6" xfId="1433"/>
    <cellStyle name="Total 2 4 3" xfId="1434"/>
    <cellStyle name="Total 2 4 3 2" xfId="1435"/>
    <cellStyle name="Total 2 4 4" xfId="1436"/>
    <cellStyle name="Total 2 4 4 2" xfId="1437"/>
    <cellStyle name="Total 2 4 5" xfId="1438"/>
    <cellStyle name="Total 2 4 5 2" xfId="1439"/>
    <cellStyle name="Total 2 4 6" xfId="1440"/>
    <cellStyle name="Total 2 4 6 2" xfId="1441"/>
    <cellStyle name="Total 2 4 7" xfId="1442"/>
    <cellStyle name="Total 2 4 7 2" xfId="1443"/>
    <cellStyle name="Total 2 4 8" xfId="1444"/>
    <cellStyle name="Total 2 5" xfId="1445"/>
    <cellStyle name="Total 2 5 2" xfId="1446"/>
    <cellStyle name="Total 2 5 2 2" xfId="1447"/>
    <cellStyle name="Total 2 5 3" xfId="1448"/>
    <cellStyle name="Total 2 5 3 2" xfId="1449"/>
    <cellStyle name="Total 2 5 4" xfId="1450"/>
    <cellStyle name="Total 2 5 4 2" xfId="1451"/>
    <cellStyle name="Total 2 5 5" xfId="1452"/>
    <cellStyle name="Total 2 5 5 2" xfId="1453"/>
    <cellStyle name="Total 2 5 6" xfId="1454"/>
    <cellStyle name="Total 2 6" xfId="1455"/>
    <cellStyle name="Total 2 6 2" xfId="1456"/>
    <cellStyle name="Total 2 6 2 2" xfId="1457"/>
    <cellStyle name="Total 2 6 3" xfId="1458"/>
    <cellStyle name="Total 2 6 3 2" xfId="1459"/>
    <cellStyle name="Total 2 6 4" xfId="1460"/>
    <cellStyle name="Total 2 6 4 2" xfId="1461"/>
    <cellStyle name="Total 2 6 5" xfId="1462"/>
    <cellStyle name="Total 2 6 5 2" xfId="1463"/>
    <cellStyle name="Total 2 6 6" xfId="1464"/>
    <cellStyle name="Total 2 7" xfId="1465"/>
    <cellStyle name="Total 2 7 2" xfId="1466"/>
    <cellStyle name="Total 2 8" xfId="1467"/>
    <cellStyle name="Total 2 8 2" xfId="1468"/>
    <cellStyle name="Total 2 9" xfId="1469"/>
    <cellStyle name="Total 2 9 2" xfId="1470"/>
    <cellStyle name="Total 3" xfId="1471"/>
    <cellStyle name="Total 3 10" xfId="1472"/>
    <cellStyle name="Total 3 10 2" xfId="1473"/>
    <cellStyle name="Total 3 11" xfId="1474"/>
    <cellStyle name="Total 3 11 2" xfId="1475"/>
    <cellStyle name="Total 3 12" xfId="1476"/>
    <cellStyle name="Total 3 2" xfId="1477"/>
    <cellStyle name="Total 3 2 2" xfId="1478"/>
    <cellStyle name="Total 3 2 2 2" xfId="1479"/>
    <cellStyle name="Total 3 2 2 2 2" xfId="1480"/>
    <cellStyle name="Total 3 2 2 3" xfId="1481"/>
    <cellStyle name="Total 3 2 2 3 2" xfId="1482"/>
    <cellStyle name="Total 3 2 2 4" xfId="1483"/>
    <cellStyle name="Total 3 2 2 4 2" xfId="1484"/>
    <cellStyle name="Total 3 2 2 5" xfId="1485"/>
    <cellStyle name="Total 3 2 2 5 2" xfId="1486"/>
    <cellStyle name="Total 3 2 2 6" xfId="1487"/>
    <cellStyle name="Total 3 2 3" xfId="1488"/>
    <cellStyle name="Total 3 2 3 2" xfId="1489"/>
    <cellStyle name="Total 3 2 3 2 2" xfId="1490"/>
    <cellStyle name="Total 3 2 3 3" xfId="1491"/>
    <cellStyle name="Total 3 2 3 3 2" xfId="1492"/>
    <cellStyle name="Total 3 2 3 4" xfId="1493"/>
    <cellStyle name="Total 3 2 3 4 2" xfId="1494"/>
    <cellStyle name="Total 3 2 3 5" xfId="1495"/>
    <cellStyle name="Total 3 2 3 5 2" xfId="1496"/>
    <cellStyle name="Total 3 2 3 6" xfId="1497"/>
    <cellStyle name="Total 3 2 4" xfId="1498"/>
    <cellStyle name="Total 3 2 4 2" xfId="1499"/>
    <cellStyle name="Total 3 2 5" xfId="1500"/>
    <cellStyle name="Total 3 2 5 2" xfId="1501"/>
    <cellStyle name="Total 3 2 6" xfId="1502"/>
    <cellStyle name="Total 3 2 6 2" xfId="1503"/>
    <cellStyle name="Total 3 2 7" xfId="1504"/>
    <cellStyle name="Total 3 2 7 2" xfId="1505"/>
    <cellStyle name="Total 3 2 8" xfId="1506"/>
    <cellStyle name="Total 3 2 8 2" xfId="1507"/>
    <cellStyle name="Total 3 2 9" xfId="1508"/>
    <cellStyle name="Total 3 3" xfId="1509"/>
    <cellStyle name="Total 3 3 2" xfId="1510"/>
    <cellStyle name="Total 3 3 2 2" xfId="1511"/>
    <cellStyle name="Total 3 3 2 2 2" xfId="1512"/>
    <cellStyle name="Total 3 3 2 3" xfId="1513"/>
    <cellStyle name="Total 3 3 2 3 2" xfId="1514"/>
    <cellStyle name="Total 3 3 2 4" xfId="1515"/>
    <cellStyle name="Total 3 3 2 4 2" xfId="1516"/>
    <cellStyle name="Total 3 3 2 5" xfId="1517"/>
    <cellStyle name="Total 3 3 2 5 2" xfId="1518"/>
    <cellStyle name="Total 3 3 2 6" xfId="1519"/>
    <cellStyle name="Total 3 3 3" xfId="1520"/>
    <cellStyle name="Total 3 3 3 2" xfId="1521"/>
    <cellStyle name="Total 3 3 3 2 2" xfId="1522"/>
    <cellStyle name="Total 3 3 3 3" xfId="1523"/>
    <cellStyle name="Total 3 3 3 3 2" xfId="1524"/>
    <cellStyle name="Total 3 3 3 4" xfId="1525"/>
    <cellStyle name="Total 3 3 3 4 2" xfId="1526"/>
    <cellStyle name="Total 3 3 3 5" xfId="1527"/>
    <cellStyle name="Total 3 3 3 5 2" xfId="1528"/>
    <cellStyle name="Total 3 3 3 6" xfId="1529"/>
    <cellStyle name="Total 3 3 4" xfId="1530"/>
    <cellStyle name="Total 3 3 4 2" xfId="1531"/>
    <cellStyle name="Total 3 3 5" xfId="1532"/>
    <cellStyle name="Total 3 3 5 2" xfId="1533"/>
    <cellStyle name="Total 3 3 6" xfId="1534"/>
    <cellStyle name="Total 3 3 6 2" xfId="1535"/>
    <cellStyle name="Total 3 3 7" xfId="1536"/>
    <cellStyle name="Total 3 3 7 2" xfId="1537"/>
    <cellStyle name="Total 3 3 8" xfId="1538"/>
    <cellStyle name="Total 3 3 8 2" xfId="1539"/>
    <cellStyle name="Total 3 3 9" xfId="1540"/>
    <cellStyle name="Total 3 4" xfId="1541"/>
    <cellStyle name="Total 3 4 2" xfId="1542"/>
    <cellStyle name="Total 3 4 2 2" xfId="1543"/>
    <cellStyle name="Total 3 4 2 2 2" xfId="1544"/>
    <cellStyle name="Total 3 4 2 3" xfId="1545"/>
    <cellStyle name="Total 3 4 2 3 2" xfId="1546"/>
    <cellStyle name="Total 3 4 2 4" xfId="1547"/>
    <cellStyle name="Total 3 4 2 4 2" xfId="1548"/>
    <cellStyle name="Total 3 4 2 5" xfId="1549"/>
    <cellStyle name="Total 3 4 2 5 2" xfId="1550"/>
    <cellStyle name="Total 3 4 2 6" xfId="1551"/>
    <cellStyle name="Total 3 4 3" xfId="1552"/>
    <cellStyle name="Total 3 4 3 2" xfId="1553"/>
    <cellStyle name="Total 3 4 4" xfId="1554"/>
    <cellStyle name="Total 3 4 4 2" xfId="1555"/>
    <cellStyle name="Total 3 4 5" xfId="1556"/>
    <cellStyle name="Total 3 4 5 2" xfId="1557"/>
    <cellStyle name="Total 3 4 6" xfId="1558"/>
    <cellStyle name="Total 3 4 6 2" xfId="1559"/>
    <cellStyle name="Total 3 4 7" xfId="1560"/>
    <cellStyle name="Total 3 4 7 2" xfId="1561"/>
    <cellStyle name="Total 3 4 8" xfId="1562"/>
    <cellStyle name="Total 3 5" xfId="1563"/>
    <cellStyle name="Total 3 5 2" xfId="1564"/>
    <cellStyle name="Total 3 5 2 2" xfId="1565"/>
    <cellStyle name="Total 3 5 3" xfId="1566"/>
    <cellStyle name="Total 3 5 3 2" xfId="1567"/>
    <cellStyle name="Total 3 5 4" xfId="1568"/>
    <cellStyle name="Total 3 5 4 2" xfId="1569"/>
    <cellStyle name="Total 3 5 5" xfId="1570"/>
    <cellStyle name="Total 3 5 5 2" xfId="1571"/>
    <cellStyle name="Total 3 5 6" xfId="1572"/>
    <cellStyle name="Total 3 6" xfId="1573"/>
    <cellStyle name="Total 3 6 2" xfId="1574"/>
    <cellStyle name="Total 3 6 2 2" xfId="1575"/>
    <cellStyle name="Total 3 6 3" xfId="1576"/>
    <cellStyle name="Total 3 6 3 2" xfId="1577"/>
    <cellStyle name="Total 3 6 4" xfId="1578"/>
    <cellStyle name="Total 3 6 4 2" xfId="1579"/>
    <cellStyle name="Total 3 6 5" xfId="1580"/>
    <cellStyle name="Total 3 6 5 2" xfId="1581"/>
    <cellStyle name="Total 3 6 6" xfId="1582"/>
    <cellStyle name="Total 3 7" xfId="1583"/>
    <cellStyle name="Total 3 7 2" xfId="1584"/>
    <cellStyle name="Total 3 8" xfId="1585"/>
    <cellStyle name="Total 3 8 2" xfId="1586"/>
    <cellStyle name="Total 3 9" xfId="1587"/>
    <cellStyle name="Total 3 9 2" xfId="1588"/>
    <cellStyle name="Zone de saisie" xfId="1589"/>
  </cellStyles>
  <dxfs count="81">
    <dxf>
      <font>
        <b/>
        <i val="0"/>
        <strike val="0"/>
        <condense val="0"/>
        <extend val="0"/>
        <outline val="0"/>
        <shadow val="0"/>
        <u val="none"/>
        <vertAlign val="baseline"/>
        <sz val="8"/>
        <color indexed="8"/>
        <name val="Arial"/>
        <scheme val="none"/>
      </font>
      <numFmt numFmtId="185" formatCode="0\ &quot;v&quot;"/>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8"/>
        <color indexed="8"/>
        <name val="Arial"/>
        <scheme val="none"/>
      </font>
      <numFmt numFmtId="180" formatCode="0\ &quot;min&quot;"/>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8"/>
        <color indexed="8"/>
        <name val="Arial"/>
        <scheme val="none"/>
      </font>
      <numFmt numFmtId="187" formatCode="#,##0.00\ &quot;m&quot;"/>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8"/>
        <color indexed="8"/>
        <name val="Arial"/>
        <scheme val="none"/>
      </font>
      <numFmt numFmtId="169" formatCode="_-* #,##0\ _€_-;\-* #,##0\ _€_-;_-* &quot;-&quot;??\ _€_-;_-@_-"/>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8"/>
        <color indexed="8"/>
        <name val="Arial"/>
        <scheme val="none"/>
      </font>
      <numFmt numFmtId="171" formatCode="#,##0&quot; mn&quot;"/>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8"/>
        <color indexed="8"/>
        <name val="Arial"/>
        <scheme val="none"/>
      </font>
      <numFmt numFmtId="172" formatCode="&quot;Equipe &quot;#0"/>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71" formatCode="#,##0&quot; mn&quot;"/>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8"/>
        <color indexed="8"/>
        <name val="Arial"/>
        <scheme val="none"/>
      </font>
      <numFmt numFmtId="172" formatCode="&quot;Equipe &quot;#0"/>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85" formatCode="0\ &quot;v&quot;"/>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86" formatCode="0\ &quot;mIn&quot;"/>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87" formatCode="#,##0.00\ &quot;m&quot;"/>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9" formatCode="_-* #,##0\ _€_-;\-* #,##0\ _€_-;_-* &quot;-&quot;??\ _€_-;_-@_-"/>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8"/>
        <color indexed="8"/>
        <name val="Arial"/>
        <scheme val="none"/>
      </font>
      <numFmt numFmtId="171" formatCode="#,##0&quot; mn&quot;"/>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8"/>
        <color indexed="8"/>
        <name val="Arial"/>
        <scheme val="none"/>
      </font>
      <numFmt numFmtId="172" formatCode="&quot;Equipe &quot;#0"/>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71" formatCode="#,##0&quot; mn&quot;"/>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8"/>
        <color indexed="8"/>
        <name val="Arial"/>
        <scheme val="none"/>
      </font>
      <numFmt numFmtId="172" formatCode="&quot;Equipe &quot;#0"/>
      <fill>
        <patternFill patternType="solid">
          <fgColor indexed="64"/>
          <bgColor indexed="13"/>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color indexed="8"/>
      </font>
      <fill>
        <patternFill>
          <bgColor indexed="13"/>
        </patternFill>
      </fill>
    </dxf>
    <dxf>
      <font>
        <b val="0"/>
        <i val="0"/>
        <strike val="0"/>
        <condense val="0"/>
        <extend val="0"/>
        <color indexed="8"/>
      </font>
      <fill>
        <patternFill>
          <bgColor indexed="13"/>
        </patternFill>
      </fill>
    </dxf>
    <dxf>
      <font>
        <color rgb="FF9C0006"/>
      </font>
      <fill>
        <patternFill>
          <bgColor rgb="FFFFC7CE"/>
        </patternFill>
      </fill>
    </dxf>
    <dxf>
      <font>
        <color rgb="FF9C0006"/>
      </font>
      <fill>
        <patternFill>
          <bgColor rgb="FFFFC7CE"/>
        </patternFill>
      </fill>
    </dxf>
    <dxf>
      <fill>
        <patternFill>
          <bgColor indexed="13"/>
        </patternFill>
      </fill>
    </dxf>
    <dxf>
      <font>
        <b/>
        <i val="0"/>
        <strike/>
        <condense val="0"/>
        <extend val="0"/>
        <color indexed="9"/>
      </font>
      <fill>
        <patternFill>
          <bgColor indexed="10"/>
        </patternFill>
      </fill>
    </dxf>
    <dxf>
      <fill>
        <patternFill>
          <bgColor indexed="23"/>
        </patternFill>
      </fill>
    </dxf>
    <dxf>
      <font>
        <b/>
        <i val="0"/>
        <condense val="0"/>
        <extend val="0"/>
        <color indexed="9"/>
      </font>
      <fill>
        <patternFill>
          <bgColor indexed="52"/>
        </patternFill>
      </fill>
    </dxf>
    <dxf>
      <font>
        <b/>
        <i val="0"/>
        <condense val="0"/>
        <extend val="0"/>
        <color indexed="9"/>
      </font>
      <fill>
        <patternFill>
          <bgColor indexed="10"/>
        </patternFill>
      </fill>
    </dxf>
    <dxf>
      <font>
        <condense val="0"/>
        <extend val="0"/>
        <color auto="1"/>
      </font>
      <fill>
        <patternFill>
          <bgColor indexed="8"/>
        </patternFill>
      </fill>
    </dxf>
    <dxf>
      <fill>
        <patternFill>
          <bgColor indexed="10"/>
        </patternFill>
      </fill>
    </dxf>
    <dxf>
      <font>
        <condense val="0"/>
        <extend val="0"/>
        <color auto="1"/>
      </font>
      <fill>
        <patternFill>
          <bgColor indexed="8"/>
        </patternFill>
      </fill>
    </dxf>
    <dxf>
      <fill>
        <patternFill>
          <bgColor indexed="10"/>
        </patternFill>
      </fill>
    </dxf>
    <dxf>
      <font>
        <condense val="0"/>
        <extend val="0"/>
        <color auto="1"/>
      </font>
      <fill>
        <patternFill>
          <bgColor indexed="8"/>
        </patternFill>
      </fill>
    </dxf>
    <dxf>
      <font>
        <b/>
        <i val="0"/>
        <condense val="0"/>
        <extend val="0"/>
        <color auto="1"/>
      </font>
      <fill>
        <patternFill patternType="solid">
          <fgColor indexed="64"/>
          <bgColor indexed="13"/>
        </patternFill>
      </fill>
    </dxf>
    <dxf>
      <font>
        <b/>
        <i val="0"/>
        <condense val="0"/>
        <extend val="0"/>
        <color auto="1"/>
      </font>
      <fill>
        <patternFill patternType="solid">
          <fgColor indexed="64"/>
          <bgColor indexed="13"/>
        </patternFill>
      </fill>
    </dxf>
    <dxf>
      <fill>
        <patternFill>
          <bgColor indexed="48"/>
        </patternFill>
      </fill>
    </dxf>
    <dxf>
      <font>
        <b/>
        <i val="0"/>
        <strike val="0"/>
        <condense val="0"/>
        <extend val="0"/>
        <color indexed="8"/>
      </font>
      <fill>
        <patternFill>
          <bgColor indexed="34"/>
        </patternFill>
      </fill>
      <border>
        <top style="thin">
          <color indexed="64"/>
        </top>
      </border>
    </dxf>
    <dxf>
      <font>
        <condense val="0"/>
        <extend val="0"/>
        <color indexed="8"/>
      </font>
      <fill>
        <patternFill>
          <bgColor theme="1"/>
        </patternFill>
      </fill>
    </dxf>
    <dxf>
      <font>
        <condense val="0"/>
        <extend val="0"/>
        <color indexed="8"/>
      </font>
      <fill>
        <patternFill>
          <bgColor theme="1"/>
        </patternFill>
      </fill>
    </dxf>
    <dxf>
      <font>
        <condense val="0"/>
        <extend val="0"/>
        <color indexed="8"/>
      </font>
      <fill>
        <patternFill>
          <bgColor indexed="8"/>
        </patternFill>
      </fill>
    </dxf>
    <dxf>
      <font>
        <condense val="0"/>
        <extend val="0"/>
        <color indexed="8"/>
      </font>
      <fill>
        <patternFill>
          <bgColor theme="1"/>
        </patternFill>
      </fill>
    </dxf>
    <dxf>
      <font>
        <condense val="0"/>
        <extend val="0"/>
        <color indexed="8"/>
      </font>
      <fill>
        <patternFill>
          <bgColor indexed="8"/>
        </patternFill>
      </fill>
    </dxf>
    <dxf>
      <font>
        <condense val="0"/>
        <extend val="0"/>
        <color indexed="8"/>
      </font>
      <fill>
        <patternFill>
          <bgColor theme="1"/>
        </patternFill>
      </fill>
    </dxf>
    <dxf>
      <font>
        <condense val="0"/>
        <extend val="0"/>
        <color indexed="8"/>
      </font>
      <fill>
        <patternFill>
          <bgColor theme="1"/>
        </patternFill>
      </fill>
    </dxf>
    <dxf>
      <font>
        <condense val="0"/>
        <extend val="0"/>
        <color indexed="8"/>
      </font>
      <fill>
        <patternFill>
          <bgColor indexed="8"/>
        </patternFill>
      </fill>
    </dxf>
    <dxf>
      <font>
        <condense val="0"/>
        <extend val="0"/>
        <color indexed="8"/>
      </font>
      <fill>
        <patternFill>
          <bgColor indexed="8"/>
        </patternFill>
      </fill>
    </dxf>
    <dxf>
      <font>
        <color auto="1"/>
      </font>
      <fill>
        <patternFill patternType="solid">
          <fgColor indexed="64"/>
          <bgColor theme="1"/>
        </patternFill>
      </fill>
    </dxf>
    <dxf>
      <font>
        <condense val="0"/>
        <extend val="0"/>
        <color indexed="8"/>
      </font>
      <fill>
        <patternFill>
          <bgColor indexed="8"/>
        </patternFill>
      </fill>
    </dxf>
    <dxf>
      <font>
        <b/>
        <i val="0"/>
        <strike val="0"/>
        <condense val="0"/>
        <extend val="0"/>
        <color indexed="8"/>
      </font>
      <fill>
        <patternFill>
          <bgColor indexed="22"/>
        </patternFill>
      </fill>
      <border>
        <top style="thin">
          <color indexed="64"/>
        </top>
      </border>
    </dxf>
    <dxf>
      <font>
        <condense val="0"/>
        <extend val="0"/>
        <color indexed="8"/>
      </font>
      <fill>
        <patternFill>
          <bgColor theme="1"/>
        </patternFill>
      </fill>
    </dxf>
    <dxf>
      <font>
        <b/>
        <i val="0"/>
        <color theme="0"/>
      </font>
      <fill>
        <patternFill>
          <bgColor rgb="FFFF0000"/>
        </patternFill>
      </fill>
    </dxf>
    <dxf>
      <font>
        <condense val="0"/>
        <extend val="0"/>
        <color indexed="8"/>
      </font>
      <fill>
        <patternFill>
          <bgColor indexed="8"/>
        </patternFill>
      </fill>
    </dxf>
    <dxf>
      <font>
        <b/>
        <i val="0"/>
        <strike val="0"/>
        <color indexed="9"/>
      </font>
      <fill>
        <patternFill>
          <bgColor indexed="10"/>
        </patternFill>
      </fill>
    </dxf>
    <dxf>
      <font>
        <color theme="0"/>
      </font>
      <fill>
        <patternFill patternType="solid">
          <fgColor indexed="64"/>
          <bgColor theme="1"/>
        </patternFill>
      </fill>
      <border>
        <left/>
        <right/>
        <top/>
        <bottom/>
      </border>
    </dxf>
    <dxf>
      <font>
        <strike val="0"/>
        <color theme="1"/>
      </font>
      <fill>
        <patternFill>
          <bgColor rgb="FFFFFF00"/>
        </patternFill>
      </fill>
      <border>
        <left/>
        <right/>
        <top/>
        <bottom/>
      </border>
    </dxf>
    <dxf>
      <font>
        <color theme="0"/>
      </font>
      <fill>
        <patternFill patternType="solid">
          <fgColor indexed="64"/>
          <bgColor theme="1"/>
        </patternFill>
      </fill>
      <border>
        <left/>
        <right/>
        <top/>
        <bottom/>
      </border>
    </dxf>
    <dxf>
      <font>
        <strike val="0"/>
        <color theme="1"/>
      </font>
      <fill>
        <patternFill>
          <bgColor rgb="FFFFFF00"/>
        </patternFill>
      </fill>
      <border>
        <left/>
        <right/>
        <top/>
        <bottom/>
      </border>
    </dxf>
    <dxf>
      <font>
        <color theme="0"/>
      </font>
      <fill>
        <patternFill patternType="solid">
          <fgColor indexed="64"/>
          <bgColor theme="1"/>
        </patternFill>
      </fill>
      <border>
        <left/>
        <right/>
        <top/>
        <bottom/>
      </border>
    </dxf>
    <dxf>
      <font>
        <strike val="0"/>
        <color theme="1"/>
      </font>
      <fill>
        <patternFill>
          <bgColor rgb="FFFFFF00"/>
        </patternFill>
      </fill>
      <border>
        <left/>
        <right/>
        <top/>
        <bottom/>
      </border>
    </dxf>
    <dxf>
      <font>
        <color theme="0"/>
      </font>
      <fill>
        <patternFill patternType="solid">
          <fgColor indexed="64"/>
          <bgColor rgb="FFFF0000"/>
        </patternFill>
      </fill>
    </dxf>
    <dxf>
      <font>
        <color theme="0"/>
      </font>
      <fill>
        <patternFill patternType="solid">
          <fgColor indexed="64"/>
          <bgColor rgb="FFFF0000"/>
        </patternFill>
      </fill>
    </dxf>
    <dxf>
      <font>
        <color theme="0"/>
      </font>
      <fill>
        <patternFill patternType="solid">
          <fgColor indexed="64"/>
          <bgColor rgb="FFFF0000"/>
        </patternFill>
      </fill>
    </dxf>
    <dxf>
      <font>
        <color theme="0"/>
      </font>
      <fill>
        <patternFill patternType="solid">
          <fgColor indexed="64"/>
          <bgColor rgb="FFFF0000"/>
        </patternFill>
      </fill>
    </dxf>
    <dxf>
      <fill>
        <patternFill>
          <bgColor rgb="FFFFFF00"/>
        </patternFill>
      </fill>
    </dxf>
    <dxf>
      <fill>
        <patternFill>
          <bgColor theme="9" tint="-0.49998474074526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indexed="9"/>
      </font>
      <fill>
        <patternFill patternType="solid">
          <fgColor indexed="64"/>
          <bgColor rgb="FFFF0000"/>
        </patternFill>
      </fill>
    </dxf>
    <dxf>
      <font>
        <strike val="0"/>
        <color theme="1"/>
      </font>
      <fill>
        <patternFill>
          <bgColor rgb="FFFFFF00"/>
        </patternFill>
      </fill>
      <border>
        <left/>
        <right/>
        <top/>
        <bottom/>
      </border>
    </dxf>
    <dxf>
      <fill>
        <patternFill>
          <bgColor theme="1"/>
        </patternFill>
      </fill>
      <border>
        <left style="thin">
          <color indexed="64"/>
        </left>
        <right style="thin">
          <color indexed="64"/>
        </right>
        <top style="thin">
          <color indexed="64"/>
        </top>
        <bottom/>
      </border>
    </dxf>
    <dxf>
      <font>
        <strike val="0"/>
        <color theme="1"/>
      </font>
      <fill>
        <patternFill>
          <bgColor rgb="FFFFFF00"/>
        </patternFill>
      </fill>
      <border>
        <left/>
        <right/>
        <top/>
        <bottom/>
      </border>
    </dxf>
    <dxf>
      <font>
        <b/>
        <i val="0"/>
        <color theme="0"/>
      </font>
      <fill>
        <patternFill>
          <bgColor rgb="FFFF0000"/>
        </patternFill>
      </fill>
    </dxf>
    <dxf>
      <font>
        <b/>
        <i val="0"/>
        <strike val="0"/>
        <condense val="0"/>
        <extend val="0"/>
        <color indexed="9"/>
      </font>
      <fill>
        <patternFill>
          <bgColor indexed="10"/>
        </patternFill>
      </fill>
    </dxf>
    <dxf>
      <fill>
        <patternFill>
          <bgColor indexed="8"/>
        </patternFill>
      </fill>
    </dxf>
    <dxf>
      <fill>
        <patternFill>
          <bgColor indexed="8"/>
        </patternFill>
      </fill>
    </dxf>
    <dxf>
      <font>
        <b/>
        <i val="0"/>
        <condense val="0"/>
        <extend val="0"/>
        <color indexed="9"/>
      </font>
      <fill>
        <patternFill>
          <bgColor indexed="10"/>
        </patternFill>
      </fill>
    </dxf>
    <dxf>
      <font>
        <color auto="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0"/>
      </font>
      <fill>
        <patternFill>
          <bgColor rgb="FFFF0000"/>
        </patternFill>
      </fill>
    </dxf>
    <dxf>
      <fill>
        <patternFill>
          <bgColor indexed="8"/>
        </patternFill>
      </fill>
    </dxf>
    <dxf>
      <font>
        <b/>
        <i val="0"/>
        <strike val="0"/>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56" dropStyle="combo" dx="16" fmlaLink="'C-P'!$E$21" fmlaRange="'C-L'!$A$2:$A$6" noThreeD="1" sel="2" val="0"/>
</file>

<file path=xl/ctrlProps/ctrlProp10.xml><?xml version="1.0" encoding="utf-8"?>
<formControlPr xmlns="http://schemas.microsoft.com/office/spreadsheetml/2009/9/main" objectType="Drop" dropLines="65" dropStyle="combo" dx="16" fmlaLink="'C-P'!$E$24" fmlaRange="'C-P'!$H$3:$H$19" sel="7" val="0"/>
</file>

<file path=xl/ctrlProps/ctrlProp11.xml><?xml version="1.0" encoding="utf-8"?>
<formControlPr xmlns="http://schemas.microsoft.com/office/spreadsheetml/2009/9/main" objectType="Drop" dropLines="65" dropStyle="combo" dx="16" fmlaLink="'C-P'!$E$24" fmlaRange="'C-P'!$B$3:$B$19" sel="7" val="0"/>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2.xml><?xml version="1.0" encoding="utf-8"?>
<formControlPr xmlns="http://schemas.microsoft.com/office/spreadsheetml/2009/9/main" objectType="Drop" dropLines="56" dropStyle="combo" dx="16" fmlaLink="'C-P'!$E$24" fmlaRange="'C-P'!$C$3:$C$19" sel="7" val="0"/>
</file>

<file path=xl/ctrlProps/ctrlProp3.xml><?xml version="1.0" encoding="utf-8"?>
<formControlPr xmlns="http://schemas.microsoft.com/office/spreadsheetml/2009/9/main" objectType="Drop" dropLines="56" dropStyle="combo" dx="16" fmlaLink="'C-P'!E$24" fmlaRange="'C-P'!$E$3:$E$19" sel="7" val="0"/>
</file>

<file path=xl/ctrlProps/ctrlProp4.xml><?xml version="1.0" encoding="utf-8"?>
<formControlPr xmlns="http://schemas.microsoft.com/office/spreadsheetml/2009/9/main" objectType="Drop" dropLines="70" dropStyle="combo" dx="16" fmlaLink="'C-P'!$E$24" fmlaRange="'C-P'!$B$3:$B$19" sel="7" val="0"/>
</file>

<file path=xl/ctrlProps/ctrlProp5.xml><?xml version="1.0" encoding="utf-8"?>
<formControlPr xmlns="http://schemas.microsoft.com/office/spreadsheetml/2009/9/main" objectType="Drop" dropLines="56" dropStyle="combo" dx="16" fmlaLink="'C-P'!E$24" fmlaRange="'C-P'!$D$3:$D$19" sel="7" val="0"/>
</file>

<file path=xl/ctrlProps/ctrlProp6.xml><?xml version="1.0" encoding="utf-8"?>
<formControlPr xmlns="http://schemas.microsoft.com/office/spreadsheetml/2009/9/main" objectType="Drop" dropLines="56" dropStyle="combo" dx="16" fmlaLink="'C-P'!$E$30" fmlaRange="'C-P'!$P$3:$P$4" val="0"/>
</file>

<file path=xl/ctrlProps/ctrlProp7.xml><?xml version="1.0" encoding="utf-8"?>
<formControlPr xmlns="http://schemas.microsoft.com/office/spreadsheetml/2009/9/main" objectType="Drop" dropLines="56" dropStyle="combo" dx="16" fmlaLink="'C-P'!$E$29" fmlaRange="'C-P'!$P$3:$P$4" val="0"/>
</file>

<file path=xl/ctrlProps/ctrlProp8.xml><?xml version="1.0" encoding="utf-8"?>
<formControlPr xmlns="http://schemas.microsoft.com/office/spreadsheetml/2009/9/main" objectType="Drop" dropLines="65" dropStyle="combo" dx="16" fmlaLink="'C-P'!$E$24" fmlaRange="'C-P'!$G$3:$G$19" sel="7" val="0"/>
</file>

<file path=xl/ctrlProps/ctrlProp9.xml><?xml version="1.0" encoding="utf-8"?>
<formControlPr xmlns="http://schemas.microsoft.com/office/spreadsheetml/2009/9/main" objectType="Drop" dropLines="65" dropStyle="combo" dx="16" fmlaLink="'C-P'!$E$24" fmlaRange="'C-P'!$I$3:$I$19" sel="7" val="0"/>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2276475</xdr:colOff>
          <xdr:row>1</xdr:row>
          <xdr:rowOff>0</xdr:rowOff>
        </xdr:from>
        <xdr:to>
          <xdr:col>5</xdr:col>
          <xdr:colOff>1476375</xdr:colOff>
          <xdr:row>2</xdr:row>
          <xdr:rowOff>28575</xdr:rowOff>
        </xdr:to>
        <xdr:sp macro="" textlink="">
          <xdr:nvSpPr>
            <xdr:cNvPr id="25601" name="Liste1" hidden="1">
              <a:extLst>
                <a:ext uri="{63B3BB69-23CF-44E3-9099-C40C66FF867C}">
                  <a14:compatExt spid="_x0000_s25601"/>
                </a:ext>
              </a:extLst>
            </xdr:cNvPr>
            <xdr:cNvSpPr/>
          </xdr:nvSpPr>
          <xdr:spPr>
            <a:xfrm>
              <a:off x="0" y="0"/>
              <a:ext cx="0" cy="0"/>
            </a:xfrm>
            <a:prstGeom prst="rect">
              <a:avLst/>
            </a:prstGeom>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2</xdr:col>
      <xdr:colOff>1016000</xdr:colOff>
      <xdr:row>1</xdr:row>
      <xdr:rowOff>193040</xdr:rowOff>
    </xdr:from>
    <xdr:to>
      <xdr:col>4</xdr:col>
      <xdr:colOff>469900</xdr:colOff>
      <xdr:row>4</xdr:row>
      <xdr:rowOff>7620</xdr:rowOff>
    </xdr:to>
    <xdr:sp macro="" textlink="">
      <xdr:nvSpPr>
        <xdr:cNvPr id="5153" name="AutoShape 140"/>
        <xdr:cNvSpPr>
          <a:spLocks noChangeAspect="1" noChangeArrowheads="1"/>
        </xdr:cNvSpPr>
      </xdr:nvSpPr>
      <xdr:spPr bwMode="auto">
        <a:xfrm>
          <a:off x="2733040" y="548640"/>
          <a:ext cx="2786380" cy="474980"/>
        </a:xfrm>
        <a:prstGeom prst="wedgeEllipseCallout">
          <a:avLst>
            <a:gd name="adj1" fmla="val 68727"/>
            <a:gd name="adj2" fmla="val 212167"/>
          </a:avLst>
        </a:prstGeom>
        <a:solidFill>
          <a:srgbClr val="DCE6F2">
            <a:alpha val="54117"/>
          </a:srgbClr>
        </a:solidFill>
        <a:ln w="9525">
          <a:solidFill>
            <a:srgbClr val="93CDDD"/>
          </a:solidFill>
          <a:miter lim="800000"/>
          <a:headEnd/>
          <a:tailEnd/>
        </a:ln>
      </xdr:spPr>
      <xdr:txBody>
        <a:bodyPr rtlCol="0"/>
        <a:lstStyle/>
        <a:p>
          <a:pPr algn="ctr"/>
          <a:endParaRPr lang="es-ES"/>
        </a:p>
      </xdr:txBody>
    </xdr:sp>
    <xdr:clientData/>
  </xdr:twoCellAnchor>
  <xdr:twoCellAnchor>
    <xdr:from>
      <xdr:col>9</xdr:col>
      <xdr:colOff>330200</xdr:colOff>
      <xdr:row>6</xdr:row>
      <xdr:rowOff>38100</xdr:rowOff>
    </xdr:from>
    <xdr:to>
      <xdr:col>12</xdr:col>
      <xdr:colOff>457200</xdr:colOff>
      <xdr:row>12</xdr:row>
      <xdr:rowOff>215900</xdr:rowOff>
    </xdr:to>
    <xdr:grpSp>
      <xdr:nvGrpSpPr>
        <xdr:cNvPr id="5154" name="Group 39"/>
        <xdr:cNvGrpSpPr>
          <a:grpSpLocks/>
        </xdr:cNvGrpSpPr>
      </xdr:nvGrpSpPr>
      <xdr:grpSpPr bwMode="auto">
        <a:xfrm>
          <a:off x="8007350" y="1733550"/>
          <a:ext cx="2212975" cy="2178050"/>
          <a:chOff x="836" y="148"/>
          <a:chExt cx="231" cy="229"/>
        </a:xfrm>
      </xdr:grpSpPr>
      <xdr:sp macro="" textlink="">
        <xdr:nvSpPr>
          <xdr:cNvPr id="5152" name="Text Box 23"/>
          <xdr:cNvSpPr txBox="1">
            <a:spLocks noChangeArrowheads="1"/>
          </xdr:cNvSpPr>
        </xdr:nvSpPr>
        <xdr:spPr bwMode="auto">
          <a:xfrm>
            <a:off x="836" y="148"/>
            <a:ext cx="231" cy="229"/>
          </a:xfrm>
          <a:prstGeom prst="rect">
            <a:avLst/>
          </a:prstGeom>
          <a:solidFill>
            <a:srgbClr val="FF99CC"/>
          </a:solidFill>
          <a:ln w="9525">
            <a:solidFill>
              <a:srgbClr val="FF00FF"/>
            </a:solidFill>
            <a:miter lim="800000"/>
            <a:headEnd/>
            <a:tailEnd/>
          </a:ln>
        </xdr:spPr>
        <xdr:txBody>
          <a:bodyPr vertOverflow="clip" wrap="square" lIns="27432" tIns="22860" rIns="0" bIns="0" anchor="t"/>
          <a:lstStyle/>
          <a:p>
            <a:pPr algn="l" rtl="0">
              <a:lnSpc>
                <a:spcPts val="1100"/>
              </a:lnSpc>
              <a:defRPr sz="1000"/>
            </a:pPr>
            <a:endParaRPr lang="es-ES" sz="1000" b="1" i="0" u="none" strike="noStrike" baseline="0">
              <a:solidFill>
                <a:srgbClr val="000000"/>
              </a:solidFill>
              <a:latin typeface="Arial"/>
              <a:ea typeface="Arial"/>
              <a:cs typeface="Arial"/>
            </a:endParaRPr>
          </a:p>
          <a:p>
            <a:pPr algn="l" rtl="0">
              <a:lnSpc>
                <a:spcPts val="1100"/>
              </a:lnSpc>
              <a:defRPr sz="1000"/>
            </a:pPr>
            <a:endParaRPr lang="es-ES" sz="1000" b="1" i="0" u="none" strike="noStrike" baseline="0">
              <a:solidFill>
                <a:srgbClr val="000000"/>
              </a:solidFill>
              <a:latin typeface="Arial"/>
              <a:ea typeface="Arial"/>
              <a:cs typeface="Arial"/>
            </a:endParaRPr>
          </a:p>
        </xdr:txBody>
      </xdr:sp>
      <mc:AlternateContent xmlns:mc="http://schemas.openxmlformats.org/markup-compatibility/2006">
        <mc:Choice xmlns:a14="http://schemas.microsoft.com/office/drawing/2010/main" Requires="a14">
          <xdr:sp macro="" textlink="">
            <xdr:nvSpPr>
              <xdr:cNvPr id="5144" name="Drop Down 24" hidden="1">
                <a:extLst>
                  <a:ext uri="{63B3BB69-23CF-44E3-9099-C40C66FF867C}">
                    <a14:compatExt spid="_x0000_s5144"/>
                  </a:ext>
                </a:extLst>
              </xdr:cNvPr>
              <xdr:cNvSpPr/>
            </xdr:nvSpPr>
            <xdr:spPr>
              <a:xfrm>
                <a:off x="848" y="222"/>
                <a:ext cx="182" cy="28"/>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147" name="Drop Down 27" hidden="1">
                <a:extLst>
                  <a:ext uri="{63B3BB69-23CF-44E3-9099-C40C66FF867C}">
                    <a14:compatExt spid="_x0000_s5147"/>
                  </a:ext>
                </a:extLst>
              </xdr:cNvPr>
              <xdr:cNvSpPr/>
            </xdr:nvSpPr>
            <xdr:spPr>
              <a:xfrm>
                <a:off x="849" y="272"/>
                <a:ext cx="183" cy="28"/>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148" name="Drop Down 28" hidden="1">
                <a:extLst>
                  <a:ext uri="{63B3BB69-23CF-44E3-9099-C40C66FF867C}">
                    <a14:compatExt spid="_x0000_s5148"/>
                  </a:ext>
                </a:extLst>
              </xdr:cNvPr>
              <xdr:cNvSpPr/>
            </xdr:nvSpPr>
            <xdr:spPr>
              <a:xfrm>
                <a:off x="848" y="163"/>
                <a:ext cx="182" cy="28"/>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5151" name="Drop Down 31" hidden="1">
                <a:extLst>
                  <a:ext uri="{63B3BB69-23CF-44E3-9099-C40C66FF867C}">
                    <a14:compatExt spid="_x0000_s5151"/>
                  </a:ext>
                </a:extLst>
              </xdr:cNvPr>
              <xdr:cNvSpPr/>
            </xdr:nvSpPr>
            <xdr:spPr>
              <a:xfrm>
                <a:off x="849" y="329"/>
                <a:ext cx="183" cy="27"/>
              </a:xfrm>
              <a:prstGeom prst="rect">
                <a:avLst/>
              </a:prstGeom>
            </xdr:spPr>
          </xdr:sp>
        </mc:Choice>
        <mc:Fallback/>
      </mc:AlternateContent>
      <xdr:pic>
        <xdr:nvPicPr>
          <xdr:cNvPr id="5157" name="CommandButto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1000" y="158"/>
            <a:ext cx="61" cy="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58" name="CommandButton2"/>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1001" y="213"/>
            <a:ext cx="60" cy="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59" name="CommandButton3"/>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1002" y="270"/>
            <a:ext cx="60"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60" name="CommandButton4"/>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a:ext>
            </a:extLst>
          </a:blip>
          <a:srcRect/>
          <a:stretch>
            <a:fillRect/>
          </a:stretch>
        </xdr:blipFill>
        <xdr:spPr bwMode="auto">
          <a:xfrm>
            <a:off x="1002" y="322"/>
            <a:ext cx="59" cy="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absolute">
    <xdr:from>
      <xdr:col>12</xdr:col>
      <xdr:colOff>741680</xdr:colOff>
      <xdr:row>6</xdr:row>
      <xdr:rowOff>274320</xdr:rowOff>
    </xdr:from>
    <xdr:to>
      <xdr:col>14</xdr:col>
      <xdr:colOff>119380</xdr:colOff>
      <xdr:row>10</xdr:row>
      <xdr:rowOff>205740</xdr:rowOff>
    </xdr:to>
    <xdr:sp macro="" textlink="">
      <xdr:nvSpPr>
        <xdr:cNvPr id="5155" name="AutoShape 140"/>
        <xdr:cNvSpPr>
          <a:spLocks noChangeAspect="1" noChangeArrowheads="1"/>
        </xdr:cNvSpPr>
      </xdr:nvSpPr>
      <xdr:spPr bwMode="auto">
        <a:xfrm>
          <a:off x="11917680" y="1960880"/>
          <a:ext cx="1125220" cy="1272540"/>
        </a:xfrm>
        <a:prstGeom prst="wedgeEllipseCallout">
          <a:avLst>
            <a:gd name="adj1" fmla="val -153989"/>
            <a:gd name="adj2" fmla="val -44517"/>
          </a:avLst>
        </a:prstGeom>
        <a:solidFill>
          <a:srgbClr val="DCE6F2">
            <a:alpha val="54117"/>
          </a:srgbClr>
        </a:solidFill>
        <a:ln w="9525">
          <a:solidFill>
            <a:srgbClr val="93CDDD"/>
          </a:solidFill>
          <a:miter lim="800000"/>
          <a:headEnd/>
          <a:tailEnd/>
        </a:ln>
      </xdr:spPr>
      <xdr:txBody>
        <a:bodyPr rtlCol="0"/>
        <a:lstStyle/>
        <a:p>
          <a:pPr algn="ctr"/>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16</xdr:col>
      <xdr:colOff>44449</xdr:colOff>
      <xdr:row>2</xdr:row>
      <xdr:rowOff>42333</xdr:rowOff>
    </xdr:from>
    <xdr:to>
      <xdr:col>18</xdr:col>
      <xdr:colOff>137583</xdr:colOff>
      <xdr:row>3</xdr:row>
      <xdr:rowOff>1109133</xdr:rowOff>
    </xdr:to>
    <xdr:sp macro="" textlink="">
      <xdr:nvSpPr>
        <xdr:cNvPr id="1180" name="AutoShape 140"/>
        <xdr:cNvSpPr>
          <a:spLocks noChangeAspect="1" noChangeArrowheads="1"/>
        </xdr:cNvSpPr>
      </xdr:nvSpPr>
      <xdr:spPr bwMode="auto">
        <a:xfrm>
          <a:off x="12892616" y="762000"/>
          <a:ext cx="1849967" cy="1341966"/>
        </a:xfrm>
        <a:prstGeom prst="wedgeEllipseCallout">
          <a:avLst>
            <a:gd name="adj1" fmla="val -287500"/>
            <a:gd name="adj2" fmla="val 134398"/>
          </a:avLst>
        </a:prstGeom>
        <a:solidFill>
          <a:srgbClr val="DCE6F2">
            <a:alpha val="54117"/>
          </a:srgbClr>
        </a:solidFill>
        <a:ln w="9525">
          <a:solidFill>
            <a:srgbClr val="93CDDD"/>
          </a:solidFill>
          <a:miter lim="800000"/>
          <a:headEnd/>
          <a:tailEnd/>
        </a:ln>
      </xdr:spPr>
      <xdr:txBody>
        <a:bodyPr rtlCol="0"/>
        <a:lstStyle/>
        <a:p>
          <a:pPr algn="ctr"/>
          <a:endParaRPr lang="es-ES"/>
        </a:p>
      </xdr:txBody>
    </xdr:sp>
    <xdr:clientData/>
  </xdr:twoCellAnchor>
  <xdr:twoCellAnchor>
    <xdr:from>
      <xdr:col>1</xdr:col>
      <xdr:colOff>25400</xdr:colOff>
      <xdr:row>2</xdr:row>
      <xdr:rowOff>50800</xdr:rowOff>
    </xdr:from>
    <xdr:to>
      <xdr:col>1</xdr:col>
      <xdr:colOff>1676400</xdr:colOff>
      <xdr:row>7</xdr:row>
      <xdr:rowOff>76200</xdr:rowOff>
    </xdr:to>
    <xdr:grpSp>
      <xdr:nvGrpSpPr>
        <xdr:cNvPr id="1181" name="Groupe 35"/>
        <xdr:cNvGrpSpPr>
          <a:grpSpLocks/>
        </xdr:cNvGrpSpPr>
      </xdr:nvGrpSpPr>
      <xdr:grpSpPr bwMode="auto">
        <a:xfrm>
          <a:off x="173567" y="749300"/>
          <a:ext cx="1651000" cy="2512483"/>
          <a:chOff x="257175" y="2066925"/>
          <a:chExt cx="1504950" cy="1436059"/>
        </a:xfrm>
      </xdr:grpSpPr>
      <xdr:sp macro="" textlink="">
        <xdr:nvSpPr>
          <xdr:cNvPr id="35" name="ZoneTexte 34"/>
          <xdr:cNvSpPr txBox="1"/>
        </xdr:nvSpPr>
        <xdr:spPr>
          <a:xfrm>
            <a:off x="789696" y="3202584"/>
            <a:ext cx="393602" cy="300400"/>
          </a:xfrm>
          <a:prstGeom prst="rect">
            <a:avLst/>
          </a:prstGeom>
          <a:noFill/>
          <a:ln w="9525">
            <a:noFill/>
            <a:miter lim="800000"/>
            <a:headEnd/>
            <a:tailEnd/>
          </a:ln>
        </xdr:spPr>
        <xdr:txBody>
          <a:bodyPr vertOverflow="clip" wrap="square" rtlCol="0" anchor="t"/>
          <a:lstStyle/>
          <a:p>
            <a:r>
              <a:rPr lang="fr-FR" sz="1000"/>
              <a:t>G1</a:t>
            </a:r>
          </a:p>
        </xdr:txBody>
      </xdr:sp>
      <xdr:grpSp>
        <xdr:nvGrpSpPr>
          <xdr:cNvPr id="1189" name="Group 30"/>
          <xdr:cNvGrpSpPr>
            <a:grpSpLocks/>
          </xdr:cNvGrpSpPr>
        </xdr:nvGrpSpPr>
        <xdr:grpSpPr bwMode="auto">
          <a:xfrm>
            <a:off x="257175" y="2066925"/>
            <a:ext cx="1504950" cy="1333500"/>
            <a:chOff x="660" y="28"/>
            <a:chExt cx="485" cy="387"/>
          </a:xfrm>
        </xdr:grpSpPr>
        <xdr:sp macro="" textlink="">
          <xdr:nvSpPr>
            <xdr:cNvPr id="1191" name="Freeform 32"/>
            <xdr:cNvSpPr>
              <a:spLocks/>
            </xdr:cNvSpPr>
          </xdr:nvSpPr>
          <xdr:spPr bwMode="auto">
            <a:xfrm>
              <a:off x="663" y="34"/>
              <a:ext cx="232" cy="186"/>
            </a:xfrm>
            <a:custGeom>
              <a:avLst/>
              <a:gdLst>
                <a:gd name="T0" fmla="*/ 0 w 264"/>
                <a:gd name="T1" fmla="*/ 2 h 230"/>
                <a:gd name="T2" fmla="*/ 4 w 264"/>
                <a:gd name="T3" fmla="*/ 2 h 230"/>
                <a:gd name="T4" fmla="*/ 4 w 264"/>
                <a:gd name="T5" fmla="*/ 2 h 230"/>
                <a:gd name="T6" fmla="*/ 4 w 264"/>
                <a:gd name="T7" fmla="*/ 2 h 230"/>
                <a:gd name="T8" fmla="*/ 4 w 264"/>
                <a:gd name="T9" fmla="*/ 2 h 230"/>
                <a:gd name="T10" fmla="*/ 4 w 264"/>
                <a:gd name="T11" fmla="*/ 2 h 230"/>
                <a:gd name="T12" fmla="*/ 4 w 264"/>
                <a:gd name="T13" fmla="*/ 2 h 230"/>
                <a:gd name="T14" fmla="*/ 4 w 264"/>
                <a:gd name="T15" fmla="*/ 2 h 230"/>
                <a:gd name="T16" fmla="*/ 4 w 264"/>
                <a:gd name="T17" fmla="*/ 2 h 230"/>
                <a:gd name="T18" fmla="*/ 4 w 264"/>
                <a:gd name="T19" fmla="*/ 2 h 230"/>
                <a:gd name="T20" fmla="*/ 4 w 264"/>
                <a:gd name="T21" fmla="*/ 2 h 230"/>
                <a:gd name="T22" fmla="*/ 5 w 264"/>
                <a:gd name="T23" fmla="*/ 2 h 230"/>
                <a:gd name="T24" fmla="*/ 6 w 264"/>
                <a:gd name="T25" fmla="*/ 2 h 230"/>
                <a:gd name="T26" fmla="*/ 7 w 264"/>
                <a:gd name="T27" fmla="*/ 2 h 230"/>
                <a:gd name="T28" fmla="*/ 7 w 264"/>
                <a:gd name="T29" fmla="*/ 0 h 230"/>
                <a:gd name="T30" fmla="*/ 8 w 264"/>
                <a:gd name="T31" fmla="*/ 2 h 230"/>
                <a:gd name="T32" fmla="*/ 8 w 264"/>
                <a:gd name="T33" fmla="*/ 2 h 230"/>
                <a:gd name="T34" fmla="*/ 9 w 264"/>
                <a:gd name="T35" fmla="*/ 2 h 230"/>
                <a:gd name="T36" fmla="*/ 9 w 264"/>
                <a:gd name="T37" fmla="*/ 2 h 230"/>
                <a:gd name="T38" fmla="*/ 9 w 264"/>
                <a:gd name="T39" fmla="*/ 2 h 230"/>
                <a:gd name="T40" fmla="*/ 10 w 264"/>
                <a:gd name="T41" fmla="*/ 2 h 230"/>
                <a:gd name="T42" fmla="*/ 10 w 264"/>
                <a:gd name="T43" fmla="*/ 2 h 230"/>
                <a:gd name="T44" fmla="*/ 10 w 264"/>
                <a:gd name="T45" fmla="*/ 2 h 230"/>
                <a:gd name="T46" fmla="*/ 10 w 264"/>
                <a:gd name="T47" fmla="*/ 2 h 230"/>
                <a:gd name="T48" fmla="*/ 11 w 264"/>
                <a:gd name="T49" fmla="*/ 2 h 230"/>
                <a:gd name="T50" fmla="*/ 11 w 264"/>
                <a:gd name="T51" fmla="*/ 2 h 230"/>
                <a:gd name="T52" fmla="*/ 12 w 264"/>
                <a:gd name="T53" fmla="*/ 2 h 230"/>
                <a:gd name="T54" fmla="*/ 13 w 264"/>
                <a:gd name="T55" fmla="*/ 2 h 230"/>
                <a:gd name="T56" fmla="*/ 13 w 264"/>
                <a:gd name="T57" fmla="*/ 2 h 230"/>
                <a:gd name="T58" fmla="*/ 13 w 264"/>
                <a:gd name="T59" fmla="*/ 2 h 230"/>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w 264"/>
                <a:gd name="T91" fmla="*/ 0 h 230"/>
                <a:gd name="T92" fmla="*/ 264 w 264"/>
                <a:gd name="T93" fmla="*/ 230 h 230"/>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T90" t="T91" r="T92" b="T93"/>
              <a:pathLst>
                <a:path w="264" h="230">
                  <a:moveTo>
                    <a:pt x="0" y="230"/>
                  </a:moveTo>
                  <a:cubicBezTo>
                    <a:pt x="5" y="225"/>
                    <a:pt x="8" y="221"/>
                    <a:pt x="15" y="219"/>
                  </a:cubicBezTo>
                  <a:cubicBezTo>
                    <a:pt x="16" y="217"/>
                    <a:pt x="20" y="213"/>
                    <a:pt x="20" y="213"/>
                  </a:cubicBezTo>
                  <a:cubicBezTo>
                    <a:pt x="22" y="208"/>
                    <a:pt x="26" y="205"/>
                    <a:pt x="28" y="200"/>
                  </a:cubicBezTo>
                  <a:cubicBezTo>
                    <a:pt x="29" y="193"/>
                    <a:pt x="31" y="189"/>
                    <a:pt x="35" y="184"/>
                  </a:cubicBezTo>
                  <a:cubicBezTo>
                    <a:pt x="36" y="178"/>
                    <a:pt x="39" y="169"/>
                    <a:pt x="43" y="165"/>
                  </a:cubicBezTo>
                  <a:cubicBezTo>
                    <a:pt x="44" y="156"/>
                    <a:pt x="49" y="145"/>
                    <a:pt x="53" y="136"/>
                  </a:cubicBezTo>
                  <a:cubicBezTo>
                    <a:pt x="54" y="134"/>
                    <a:pt x="60" y="128"/>
                    <a:pt x="61" y="127"/>
                  </a:cubicBezTo>
                  <a:cubicBezTo>
                    <a:pt x="62" y="126"/>
                    <a:pt x="63" y="125"/>
                    <a:pt x="63" y="125"/>
                  </a:cubicBezTo>
                  <a:cubicBezTo>
                    <a:pt x="64" y="120"/>
                    <a:pt x="68" y="115"/>
                    <a:pt x="72" y="111"/>
                  </a:cubicBezTo>
                  <a:cubicBezTo>
                    <a:pt x="73" y="107"/>
                    <a:pt x="80" y="90"/>
                    <a:pt x="83" y="86"/>
                  </a:cubicBezTo>
                  <a:cubicBezTo>
                    <a:pt x="87" y="63"/>
                    <a:pt x="83" y="48"/>
                    <a:pt x="108" y="43"/>
                  </a:cubicBezTo>
                  <a:cubicBezTo>
                    <a:pt x="113" y="38"/>
                    <a:pt x="112" y="25"/>
                    <a:pt x="116" y="18"/>
                  </a:cubicBezTo>
                  <a:cubicBezTo>
                    <a:pt x="119" y="13"/>
                    <a:pt x="127" y="6"/>
                    <a:pt x="127" y="6"/>
                  </a:cubicBezTo>
                  <a:cubicBezTo>
                    <a:pt x="128" y="3"/>
                    <a:pt x="128" y="1"/>
                    <a:pt x="131" y="0"/>
                  </a:cubicBezTo>
                  <a:cubicBezTo>
                    <a:pt x="137" y="1"/>
                    <a:pt x="139" y="4"/>
                    <a:pt x="144" y="6"/>
                  </a:cubicBezTo>
                  <a:cubicBezTo>
                    <a:pt x="146" y="10"/>
                    <a:pt x="148" y="9"/>
                    <a:pt x="153" y="10"/>
                  </a:cubicBezTo>
                  <a:cubicBezTo>
                    <a:pt x="156" y="12"/>
                    <a:pt x="160" y="15"/>
                    <a:pt x="163" y="17"/>
                  </a:cubicBezTo>
                  <a:cubicBezTo>
                    <a:pt x="164" y="18"/>
                    <a:pt x="167" y="19"/>
                    <a:pt x="167" y="19"/>
                  </a:cubicBezTo>
                  <a:cubicBezTo>
                    <a:pt x="169" y="25"/>
                    <a:pt x="175" y="27"/>
                    <a:pt x="177" y="32"/>
                  </a:cubicBezTo>
                  <a:cubicBezTo>
                    <a:pt x="179" y="36"/>
                    <a:pt x="183" y="42"/>
                    <a:pt x="183" y="42"/>
                  </a:cubicBezTo>
                  <a:cubicBezTo>
                    <a:pt x="185" y="51"/>
                    <a:pt x="182" y="42"/>
                    <a:pt x="193" y="47"/>
                  </a:cubicBezTo>
                  <a:cubicBezTo>
                    <a:pt x="195" y="48"/>
                    <a:pt x="195" y="51"/>
                    <a:pt x="196" y="52"/>
                  </a:cubicBezTo>
                  <a:cubicBezTo>
                    <a:pt x="197" y="55"/>
                    <a:pt x="201" y="64"/>
                    <a:pt x="203" y="65"/>
                  </a:cubicBezTo>
                  <a:cubicBezTo>
                    <a:pt x="205" y="71"/>
                    <a:pt x="209" y="75"/>
                    <a:pt x="215" y="78"/>
                  </a:cubicBezTo>
                  <a:cubicBezTo>
                    <a:pt x="217" y="86"/>
                    <a:pt x="226" y="91"/>
                    <a:pt x="232" y="95"/>
                  </a:cubicBezTo>
                  <a:cubicBezTo>
                    <a:pt x="234" y="98"/>
                    <a:pt x="236" y="99"/>
                    <a:pt x="239" y="100"/>
                  </a:cubicBezTo>
                  <a:cubicBezTo>
                    <a:pt x="242" y="105"/>
                    <a:pt x="245" y="110"/>
                    <a:pt x="251" y="111"/>
                  </a:cubicBezTo>
                  <a:cubicBezTo>
                    <a:pt x="254" y="114"/>
                    <a:pt x="257" y="116"/>
                    <a:pt x="261" y="117"/>
                  </a:cubicBezTo>
                  <a:cubicBezTo>
                    <a:pt x="263" y="119"/>
                    <a:pt x="262" y="119"/>
                    <a:pt x="264" y="119"/>
                  </a:cubicBezTo>
                </a:path>
              </a:pathLst>
            </a:custGeom>
            <a:noFill/>
            <a:ln w="25400" cap="flat" cmpd="sng">
              <a:solidFill>
                <a:srgbClr val="80808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sp macro="" textlink="">
          <xdr:nvSpPr>
            <xdr:cNvPr id="1192" name="Freeform 33"/>
            <xdr:cNvSpPr>
              <a:spLocks/>
            </xdr:cNvSpPr>
          </xdr:nvSpPr>
          <xdr:spPr bwMode="auto">
            <a:xfrm>
              <a:off x="894" y="60"/>
              <a:ext cx="248" cy="96"/>
            </a:xfrm>
            <a:custGeom>
              <a:avLst/>
              <a:gdLst>
                <a:gd name="T0" fmla="*/ 0 w 291"/>
                <a:gd name="T1" fmla="*/ 1 h 131"/>
                <a:gd name="T2" fmla="*/ 3 w 291"/>
                <a:gd name="T3" fmla="*/ 1 h 131"/>
                <a:gd name="T4" fmla="*/ 3 w 291"/>
                <a:gd name="T5" fmla="*/ 1 h 131"/>
                <a:gd name="T6" fmla="*/ 3 w 291"/>
                <a:gd name="T7" fmla="*/ 1 h 131"/>
                <a:gd name="T8" fmla="*/ 3 w 291"/>
                <a:gd name="T9" fmla="*/ 1 h 131"/>
                <a:gd name="T10" fmla="*/ 3 w 291"/>
                <a:gd name="T11" fmla="*/ 1 h 131"/>
                <a:gd name="T12" fmla="*/ 3 w 291"/>
                <a:gd name="T13" fmla="*/ 0 h 131"/>
                <a:gd name="T14" fmla="*/ 3 w 291"/>
                <a:gd name="T15" fmla="*/ 1 h 131"/>
                <a:gd name="T16" fmla="*/ 4 w 291"/>
                <a:gd name="T17" fmla="*/ 1 h 131"/>
                <a:gd name="T18" fmla="*/ 5 w 291"/>
                <a:gd name="T19" fmla="*/ 1 h 131"/>
                <a:gd name="T20" fmla="*/ 8 w 291"/>
                <a:gd name="T21" fmla="*/ 1 h 13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291"/>
                <a:gd name="T34" fmla="*/ 0 h 131"/>
                <a:gd name="T35" fmla="*/ 291 w 291"/>
                <a:gd name="T36" fmla="*/ 131 h 131"/>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291" h="131">
                  <a:moveTo>
                    <a:pt x="0" y="100"/>
                  </a:moveTo>
                  <a:cubicBezTo>
                    <a:pt x="5" y="71"/>
                    <a:pt x="15" y="66"/>
                    <a:pt x="42" y="63"/>
                  </a:cubicBezTo>
                  <a:cubicBezTo>
                    <a:pt x="45" y="60"/>
                    <a:pt x="45" y="55"/>
                    <a:pt x="49" y="53"/>
                  </a:cubicBezTo>
                  <a:cubicBezTo>
                    <a:pt x="51" y="48"/>
                    <a:pt x="56" y="46"/>
                    <a:pt x="59" y="43"/>
                  </a:cubicBezTo>
                  <a:cubicBezTo>
                    <a:pt x="60" y="39"/>
                    <a:pt x="71" y="24"/>
                    <a:pt x="75" y="22"/>
                  </a:cubicBezTo>
                  <a:cubicBezTo>
                    <a:pt x="78" y="15"/>
                    <a:pt x="78" y="16"/>
                    <a:pt x="83" y="12"/>
                  </a:cubicBezTo>
                  <a:cubicBezTo>
                    <a:pt x="85" y="8"/>
                    <a:pt x="85" y="3"/>
                    <a:pt x="88" y="0"/>
                  </a:cubicBezTo>
                  <a:cubicBezTo>
                    <a:pt x="102" y="1"/>
                    <a:pt x="111" y="1"/>
                    <a:pt x="123" y="6"/>
                  </a:cubicBezTo>
                  <a:cubicBezTo>
                    <a:pt x="138" y="21"/>
                    <a:pt x="139" y="28"/>
                    <a:pt x="162" y="31"/>
                  </a:cubicBezTo>
                  <a:cubicBezTo>
                    <a:pt x="168" y="34"/>
                    <a:pt x="166" y="42"/>
                    <a:pt x="173" y="44"/>
                  </a:cubicBezTo>
                  <a:cubicBezTo>
                    <a:pt x="175" y="46"/>
                    <a:pt x="291" y="131"/>
                    <a:pt x="291" y="131"/>
                  </a:cubicBezTo>
                </a:path>
              </a:pathLst>
            </a:custGeom>
            <a:noFill/>
            <a:ln w="25400" cap="flat" cmpd="sng">
              <a:solidFill>
                <a:srgbClr val="80808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sp macro="" textlink="">
          <xdr:nvSpPr>
            <xdr:cNvPr id="1193" name="Freeform 34"/>
            <xdr:cNvSpPr>
              <a:spLocks/>
            </xdr:cNvSpPr>
          </xdr:nvSpPr>
          <xdr:spPr bwMode="auto">
            <a:xfrm>
              <a:off x="820" y="92"/>
              <a:ext cx="131" cy="323"/>
            </a:xfrm>
            <a:custGeom>
              <a:avLst/>
              <a:gdLst>
                <a:gd name="T0" fmla="*/ 0 w 131"/>
                <a:gd name="T1" fmla="*/ 323 h 323"/>
                <a:gd name="T2" fmla="*/ 13 w 131"/>
                <a:gd name="T3" fmla="*/ 286 h 323"/>
                <a:gd name="T4" fmla="*/ 23 w 131"/>
                <a:gd name="T5" fmla="*/ 217 h 323"/>
                <a:gd name="T6" fmla="*/ 65 w 131"/>
                <a:gd name="T7" fmla="*/ 135 h 323"/>
                <a:gd name="T8" fmla="*/ 101 w 131"/>
                <a:gd name="T9" fmla="*/ 70 h 323"/>
                <a:gd name="T10" fmla="*/ 131 w 131"/>
                <a:gd name="T11" fmla="*/ 0 h 323"/>
                <a:gd name="T12" fmla="*/ 0 60000 65536"/>
                <a:gd name="T13" fmla="*/ 0 60000 65536"/>
                <a:gd name="T14" fmla="*/ 0 60000 65536"/>
                <a:gd name="T15" fmla="*/ 0 60000 65536"/>
                <a:gd name="T16" fmla="*/ 0 60000 65536"/>
                <a:gd name="T17" fmla="*/ 0 60000 65536"/>
                <a:gd name="T18" fmla="*/ 0 w 131"/>
                <a:gd name="T19" fmla="*/ 0 h 323"/>
                <a:gd name="T20" fmla="*/ 131 w 131"/>
                <a:gd name="T21" fmla="*/ 323 h 323"/>
              </a:gdLst>
              <a:ahLst/>
              <a:cxnLst>
                <a:cxn ang="T12">
                  <a:pos x="T0" y="T1"/>
                </a:cxn>
                <a:cxn ang="T13">
                  <a:pos x="T2" y="T3"/>
                </a:cxn>
                <a:cxn ang="T14">
                  <a:pos x="T4" y="T5"/>
                </a:cxn>
                <a:cxn ang="T15">
                  <a:pos x="T6" y="T7"/>
                </a:cxn>
                <a:cxn ang="T16">
                  <a:pos x="T8" y="T9"/>
                </a:cxn>
                <a:cxn ang="T17">
                  <a:pos x="T10" y="T11"/>
                </a:cxn>
              </a:cxnLst>
              <a:rect l="T18" t="T19" r="T20" b="T21"/>
              <a:pathLst>
                <a:path w="131" h="323">
                  <a:moveTo>
                    <a:pt x="0" y="323"/>
                  </a:moveTo>
                  <a:cubicBezTo>
                    <a:pt x="0" y="323"/>
                    <a:pt x="9" y="304"/>
                    <a:pt x="13" y="286"/>
                  </a:cubicBezTo>
                  <a:cubicBezTo>
                    <a:pt x="17" y="268"/>
                    <a:pt x="14" y="242"/>
                    <a:pt x="23" y="217"/>
                  </a:cubicBezTo>
                  <a:cubicBezTo>
                    <a:pt x="23" y="204"/>
                    <a:pt x="57" y="146"/>
                    <a:pt x="65" y="135"/>
                  </a:cubicBezTo>
                  <a:cubicBezTo>
                    <a:pt x="76" y="111"/>
                    <a:pt x="90" y="92"/>
                    <a:pt x="101" y="70"/>
                  </a:cubicBezTo>
                  <a:cubicBezTo>
                    <a:pt x="112" y="48"/>
                    <a:pt x="125" y="15"/>
                    <a:pt x="131" y="0"/>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grpSp>
          <xdr:nvGrpSpPr>
            <xdr:cNvPr id="1194" name="Group 35"/>
            <xdr:cNvGrpSpPr>
              <a:grpSpLocks/>
            </xdr:cNvGrpSpPr>
          </xdr:nvGrpSpPr>
          <xdr:grpSpPr bwMode="auto">
            <a:xfrm>
              <a:off x="810" y="161"/>
              <a:ext cx="110" cy="186"/>
              <a:chOff x="867" y="366"/>
              <a:chExt cx="207" cy="393"/>
            </a:xfrm>
          </xdr:grpSpPr>
          <xdr:grpSp>
            <xdr:nvGrpSpPr>
              <xdr:cNvPr id="1197" name="Group 36"/>
              <xdr:cNvGrpSpPr>
                <a:grpSpLocks/>
              </xdr:cNvGrpSpPr>
            </xdr:nvGrpSpPr>
            <xdr:grpSpPr bwMode="auto">
              <a:xfrm>
                <a:off x="1020" y="366"/>
                <a:ext cx="54" cy="65"/>
                <a:chOff x="773" y="416"/>
                <a:chExt cx="126" cy="165"/>
              </a:xfrm>
            </xdr:grpSpPr>
            <xdr:sp macro="" textlink="">
              <xdr:nvSpPr>
                <xdr:cNvPr id="1207" name="Rectangle 37"/>
                <xdr:cNvSpPr>
                  <a:spLocks noChangeArrowheads="1"/>
                </xdr:cNvSpPr>
              </xdr:nvSpPr>
              <xdr:spPr bwMode="auto">
                <a:xfrm>
                  <a:off x="831" y="419"/>
                  <a:ext cx="8" cy="16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sp macro="" textlink="">
              <xdr:nvSpPr>
                <xdr:cNvPr id="1208" name="Rectangle 38"/>
                <xdr:cNvSpPr>
                  <a:spLocks noChangeArrowheads="1"/>
                </xdr:cNvSpPr>
              </xdr:nvSpPr>
              <xdr:spPr bwMode="auto">
                <a:xfrm>
                  <a:off x="773" y="416"/>
                  <a:ext cx="126" cy="9"/>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grpSp>
          <xdr:grpSp>
            <xdr:nvGrpSpPr>
              <xdr:cNvPr id="1198" name="Group 39"/>
              <xdr:cNvGrpSpPr>
                <a:grpSpLocks/>
              </xdr:cNvGrpSpPr>
            </xdr:nvGrpSpPr>
            <xdr:grpSpPr bwMode="auto">
              <a:xfrm>
                <a:off x="906" y="583"/>
                <a:ext cx="54" cy="66"/>
                <a:chOff x="894" y="-182"/>
                <a:chExt cx="126" cy="169"/>
              </a:xfrm>
            </xdr:grpSpPr>
            <xdr:sp macro="" textlink="">
              <xdr:nvSpPr>
                <xdr:cNvPr id="1205" name="Rectangle 40"/>
                <xdr:cNvSpPr>
                  <a:spLocks noChangeArrowheads="1"/>
                </xdr:cNvSpPr>
              </xdr:nvSpPr>
              <xdr:spPr bwMode="auto">
                <a:xfrm>
                  <a:off x="956" y="-178"/>
                  <a:ext cx="8" cy="16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sp macro="" textlink="">
              <xdr:nvSpPr>
                <xdr:cNvPr id="1206" name="Rectangle 41"/>
                <xdr:cNvSpPr>
                  <a:spLocks noChangeArrowheads="1"/>
                </xdr:cNvSpPr>
              </xdr:nvSpPr>
              <xdr:spPr bwMode="auto">
                <a:xfrm>
                  <a:off x="894" y="-182"/>
                  <a:ext cx="126" cy="9"/>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grpSp>
          <xdr:grpSp>
            <xdr:nvGrpSpPr>
              <xdr:cNvPr id="1199" name="Group 42"/>
              <xdr:cNvGrpSpPr>
                <a:grpSpLocks/>
              </xdr:cNvGrpSpPr>
            </xdr:nvGrpSpPr>
            <xdr:grpSpPr bwMode="auto">
              <a:xfrm>
                <a:off x="961" y="486"/>
                <a:ext cx="54" cy="67"/>
                <a:chOff x="812" y="371"/>
                <a:chExt cx="127" cy="165"/>
              </a:xfrm>
            </xdr:grpSpPr>
            <xdr:sp macro="" textlink="">
              <xdr:nvSpPr>
                <xdr:cNvPr id="1203" name="Rectangle 43"/>
                <xdr:cNvSpPr>
                  <a:spLocks noChangeArrowheads="1"/>
                </xdr:cNvSpPr>
              </xdr:nvSpPr>
              <xdr:spPr bwMode="auto">
                <a:xfrm>
                  <a:off x="870" y="373"/>
                  <a:ext cx="8" cy="16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sp macro="" textlink="">
              <xdr:nvSpPr>
                <xdr:cNvPr id="1204" name="Rectangle 44"/>
                <xdr:cNvSpPr>
                  <a:spLocks noChangeArrowheads="1"/>
                </xdr:cNvSpPr>
              </xdr:nvSpPr>
              <xdr:spPr bwMode="auto">
                <a:xfrm>
                  <a:off x="812" y="371"/>
                  <a:ext cx="127" cy="9"/>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grpSp>
          <xdr:grpSp>
            <xdr:nvGrpSpPr>
              <xdr:cNvPr id="1200" name="Group 45"/>
              <xdr:cNvGrpSpPr>
                <a:grpSpLocks/>
              </xdr:cNvGrpSpPr>
            </xdr:nvGrpSpPr>
            <xdr:grpSpPr bwMode="auto">
              <a:xfrm>
                <a:off x="867" y="694"/>
                <a:ext cx="54" cy="65"/>
                <a:chOff x="761" y="468"/>
                <a:chExt cx="127" cy="165"/>
              </a:xfrm>
            </xdr:grpSpPr>
            <xdr:sp macro="" textlink="">
              <xdr:nvSpPr>
                <xdr:cNvPr id="1201" name="Rectangle 46"/>
                <xdr:cNvSpPr>
                  <a:spLocks noChangeArrowheads="1"/>
                </xdr:cNvSpPr>
              </xdr:nvSpPr>
              <xdr:spPr bwMode="auto">
                <a:xfrm>
                  <a:off x="827" y="471"/>
                  <a:ext cx="8" cy="16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sp macro="" textlink="">
              <xdr:nvSpPr>
                <xdr:cNvPr id="1202" name="Rectangle 47"/>
                <xdr:cNvSpPr>
                  <a:spLocks noChangeArrowheads="1"/>
                </xdr:cNvSpPr>
              </xdr:nvSpPr>
              <xdr:spPr bwMode="auto">
                <a:xfrm>
                  <a:off x="761" y="468"/>
                  <a:ext cx="127" cy="9"/>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grpSp>
        </xdr:grpSp>
        <xdr:sp macro="" textlink="">
          <xdr:nvSpPr>
            <xdr:cNvPr id="1195" name="Freeform 48"/>
            <xdr:cNvSpPr>
              <a:spLocks/>
            </xdr:cNvSpPr>
          </xdr:nvSpPr>
          <xdr:spPr bwMode="auto">
            <a:xfrm>
              <a:off x="795" y="106"/>
              <a:ext cx="122" cy="305"/>
            </a:xfrm>
            <a:custGeom>
              <a:avLst/>
              <a:gdLst>
                <a:gd name="T0" fmla="*/ 0 w 121"/>
                <a:gd name="T1" fmla="*/ 277 h 307"/>
                <a:gd name="T2" fmla="*/ 12 w 121"/>
                <a:gd name="T3" fmla="*/ 242 h 307"/>
                <a:gd name="T4" fmla="*/ 20 w 121"/>
                <a:gd name="T5" fmla="*/ 186 h 307"/>
                <a:gd name="T6" fmla="*/ 77 w 121"/>
                <a:gd name="T7" fmla="*/ 104 h 307"/>
                <a:gd name="T8" fmla="*/ 114 w 121"/>
                <a:gd name="T9" fmla="*/ 54 h 307"/>
                <a:gd name="T10" fmla="*/ 136 w 121"/>
                <a:gd name="T11" fmla="*/ 0 h 307"/>
                <a:gd name="T12" fmla="*/ 0 60000 65536"/>
                <a:gd name="T13" fmla="*/ 0 60000 65536"/>
                <a:gd name="T14" fmla="*/ 0 60000 65536"/>
                <a:gd name="T15" fmla="*/ 0 60000 65536"/>
                <a:gd name="T16" fmla="*/ 0 60000 65536"/>
                <a:gd name="T17" fmla="*/ 0 60000 65536"/>
                <a:gd name="T18" fmla="*/ 0 w 121"/>
                <a:gd name="T19" fmla="*/ 0 h 307"/>
                <a:gd name="T20" fmla="*/ 121 w 121"/>
                <a:gd name="T21" fmla="*/ 307 h 307"/>
              </a:gdLst>
              <a:ahLst/>
              <a:cxnLst>
                <a:cxn ang="T12">
                  <a:pos x="T0" y="T1"/>
                </a:cxn>
                <a:cxn ang="T13">
                  <a:pos x="T2" y="T3"/>
                </a:cxn>
                <a:cxn ang="T14">
                  <a:pos x="T4" y="T5"/>
                </a:cxn>
                <a:cxn ang="T15">
                  <a:pos x="T6" y="T7"/>
                </a:cxn>
                <a:cxn ang="T16">
                  <a:pos x="T8" y="T9"/>
                </a:cxn>
                <a:cxn ang="T17">
                  <a:pos x="T10" y="T11"/>
                </a:cxn>
              </a:cxnLst>
              <a:rect l="T18" t="T19" r="T20" b="T21"/>
              <a:pathLst>
                <a:path w="121" h="307">
                  <a:moveTo>
                    <a:pt x="0" y="307"/>
                  </a:moveTo>
                  <a:cubicBezTo>
                    <a:pt x="0" y="307"/>
                    <a:pt x="9" y="290"/>
                    <a:pt x="12" y="272"/>
                  </a:cubicBezTo>
                  <a:cubicBezTo>
                    <a:pt x="15" y="254"/>
                    <a:pt x="12" y="226"/>
                    <a:pt x="20" y="201"/>
                  </a:cubicBezTo>
                  <a:cubicBezTo>
                    <a:pt x="20" y="188"/>
                    <a:pt x="54" y="130"/>
                    <a:pt x="62" y="119"/>
                  </a:cubicBezTo>
                  <a:cubicBezTo>
                    <a:pt x="74" y="95"/>
                    <a:pt x="88" y="76"/>
                    <a:pt x="99" y="54"/>
                  </a:cubicBezTo>
                  <a:cubicBezTo>
                    <a:pt x="109" y="34"/>
                    <a:pt x="115" y="15"/>
                    <a:pt x="121" y="0"/>
                  </a:cubicBezTo>
                </a:path>
              </a:pathLst>
            </a:cu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sp macro="" textlink="">
          <xdr:nvSpPr>
            <xdr:cNvPr id="1196" name="Rectangle 31"/>
            <xdr:cNvSpPr>
              <a:spLocks noChangeArrowheads="1"/>
            </xdr:cNvSpPr>
          </xdr:nvSpPr>
          <xdr:spPr bwMode="auto">
            <a:xfrm>
              <a:off x="660" y="28"/>
              <a:ext cx="485" cy="38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es-ES"/>
            </a:p>
          </xdr:txBody>
        </xdr:sp>
      </xdr:grpSp>
      <xdr:sp macro="" textlink="">
        <xdr:nvSpPr>
          <xdr:cNvPr id="34" name="ZoneTexte 33"/>
          <xdr:cNvSpPr txBox="1"/>
        </xdr:nvSpPr>
        <xdr:spPr>
          <a:xfrm>
            <a:off x="801272" y="2118213"/>
            <a:ext cx="382026" cy="30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000"/>
              <a:t>G2</a:t>
            </a:r>
          </a:p>
        </xdr:txBody>
      </xdr:sp>
    </xdr:grpSp>
    <xdr:clientData/>
  </xdr:twoCellAnchor>
  <xdr:twoCellAnchor>
    <xdr:from>
      <xdr:col>1</xdr:col>
      <xdr:colOff>873125</xdr:colOff>
      <xdr:row>3</xdr:row>
      <xdr:rowOff>41275</xdr:rowOff>
    </xdr:from>
    <xdr:to>
      <xdr:col>1</xdr:col>
      <xdr:colOff>1012825</xdr:colOff>
      <xdr:row>3</xdr:row>
      <xdr:rowOff>152400</xdr:rowOff>
    </xdr:to>
    <xdr:sp macro="" textlink="">
      <xdr:nvSpPr>
        <xdr:cNvPr id="28" name="27 Paralelogramo"/>
        <xdr:cNvSpPr/>
      </xdr:nvSpPr>
      <xdr:spPr>
        <a:xfrm>
          <a:off x="901700" y="708025"/>
          <a:ext cx="127000" cy="111125"/>
        </a:xfrm>
        <a:prstGeom prst="parallelogram">
          <a:avLst>
            <a:gd name="adj" fmla="val 42857"/>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1</xdr:col>
      <xdr:colOff>473075</xdr:colOff>
      <xdr:row>6</xdr:row>
      <xdr:rowOff>85725</xdr:rowOff>
    </xdr:from>
    <xdr:to>
      <xdr:col>1</xdr:col>
      <xdr:colOff>612775</xdr:colOff>
      <xdr:row>6</xdr:row>
      <xdr:rowOff>196850</xdr:rowOff>
    </xdr:to>
    <xdr:sp macro="" textlink="">
      <xdr:nvSpPr>
        <xdr:cNvPr id="29" name="28 Paralelogramo"/>
        <xdr:cNvSpPr/>
      </xdr:nvSpPr>
      <xdr:spPr>
        <a:xfrm>
          <a:off x="552450" y="1984375"/>
          <a:ext cx="127000" cy="111125"/>
        </a:xfrm>
        <a:prstGeom prst="parallelogram">
          <a:avLst>
            <a:gd name="adj" fmla="val 42857"/>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editAs="absolute">
    <xdr:from>
      <xdr:col>13</xdr:col>
      <xdr:colOff>867833</xdr:colOff>
      <xdr:row>2</xdr:row>
      <xdr:rowOff>40218</xdr:rowOff>
    </xdr:from>
    <xdr:to>
      <xdr:col>15</xdr:col>
      <xdr:colOff>207433</xdr:colOff>
      <xdr:row>3</xdr:row>
      <xdr:rowOff>1183218</xdr:rowOff>
    </xdr:to>
    <xdr:sp macro="" textlink="">
      <xdr:nvSpPr>
        <xdr:cNvPr id="1184" name="AutoShape 140"/>
        <xdr:cNvSpPr>
          <a:spLocks noChangeAspect="1" noChangeArrowheads="1"/>
        </xdr:cNvSpPr>
      </xdr:nvSpPr>
      <xdr:spPr bwMode="auto">
        <a:xfrm>
          <a:off x="11228916" y="759885"/>
          <a:ext cx="1466850" cy="1418166"/>
        </a:xfrm>
        <a:prstGeom prst="wedgeEllipseCallout">
          <a:avLst>
            <a:gd name="adj1" fmla="val -223880"/>
            <a:gd name="adj2" fmla="val 85333"/>
          </a:avLst>
        </a:prstGeom>
        <a:solidFill>
          <a:srgbClr val="DCE6F2">
            <a:alpha val="54117"/>
          </a:srgbClr>
        </a:solidFill>
        <a:ln w="9525">
          <a:solidFill>
            <a:srgbClr val="93CDDD"/>
          </a:solidFill>
          <a:miter lim="800000"/>
          <a:headEnd/>
          <a:tailEnd/>
        </a:ln>
      </xdr:spPr>
      <xdr:txBody>
        <a:bodyPr rtlCol="0"/>
        <a:lstStyle/>
        <a:p>
          <a:pPr algn="ctr"/>
          <a:endParaRPr lang="es-ES"/>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4</xdr:row>
          <xdr:rowOff>0</xdr:rowOff>
        </xdr:from>
        <xdr:to>
          <xdr:col>11</xdr:col>
          <xdr:colOff>180975</xdr:colOff>
          <xdr:row>4</xdr:row>
          <xdr:rowOff>180975</xdr:rowOff>
        </xdr:to>
        <xdr:sp macro="" textlink="">
          <xdr:nvSpPr>
            <xdr:cNvPr id="1080" name="Drop Down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xdr:row>
          <xdr:rowOff>0</xdr:rowOff>
        </xdr:from>
        <xdr:to>
          <xdr:col>8</xdr:col>
          <xdr:colOff>314325</xdr:colOff>
          <xdr:row>4</xdr:row>
          <xdr:rowOff>180975</xdr:rowOff>
        </xdr:to>
        <xdr:sp macro="" textlink="">
          <xdr:nvSpPr>
            <xdr:cNvPr id="1082" name="Drop Down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xdr:twoCellAnchor>
    <xdr:from>
      <xdr:col>15</xdr:col>
      <xdr:colOff>190500</xdr:colOff>
      <xdr:row>6</xdr:row>
      <xdr:rowOff>152400</xdr:rowOff>
    </xdr:from>
    <xdr:to>
      <xdr:col>18</xdr:col>
      <xdr:colOff>241300</xdr:colOff>
      <xdr:row>19</xdr:row>
      <xdr:rowOff>12700</xdr:rowOff>
    </xdr:to>
    <xdr:grpSp>
      <xdr:nvGrpSpPr>
        <xdr:cNvPr id="1185" name="Group 183"/>
        <xdr:cNvGrpSpPr>
          <a:grpSpLocks/>
        </xdr:cNvGrpSpPr>
      </xdr:nvGrpSpPr>
      <xdr:grpSpPr bwMode="auto">
        <a:xfrm>
          <a:off x="11123083" y="3052233"/>
          <a:ext cx="1892300" cy="1924050"/>
          <a:chOff x="1108" y="243"/>
          <a:chExt cx="197" cy="207"/>
        </a:xfrm>
      </xdr:grpSpPr>
      <xdr:sp macro="" textlink="">
        <xdr:nvSpPr>
          <xdr:cNvPr id="2" name="Text Box 143"/>
          <xdr:cNvSpPr txBox="1">
            <a:spLocks noChangeArrowheads="1"/>
          </xdr:cNvSpPr>
        </xdr:nvSpPr>
        <xdr:spPr bwMode="auto">
          <a:xfrm>
            <a:off x="1108" y="243"/>
            <a:ext cx="197" cy="207"/>
          </a:xfrm>
          <a:prstGeom prst="rect">
            <a:avLst/>
          </a:prstGeom>
          <a:solidFill>
            <a:srgbClr val="FF99CC"/>
          </a:solidFill>
          <a:ln w="9525">
            <a:solidFill>
              <a:srgbClr val="FF00FF"/>
            </a:solidFill>
            <a:miter lim="800000"/>
            <a:headEnd/>
            <a:tailEnd/>
          </a:ln>
        </xdr:spPr>
        <xdr:txBody>
          <a:bodyPr vertOverflow="clip" wrap="square" lIns="27432" tIns="22860" rIns="0" bIns="0" anchor="t"/>
          <a:lstStyle/>
          <a:p>
            <a:pPr algn="l" rtl="0">
              <a:defRPr sz="1000"/>
            </a:pPr>
            <a:endParaRPr lang="es-ES" sz="1000" b="1" i="0" u="none" strike="noStrike" baseline="0">
              <a:solidFill>
                <a:srgbClr val="000000"/>
              </a:solidFill>
              <a:latin typeface="Arial"/>
              <a:ea typeface="Arial"/>
              <a:cs typeface="Arial"/>
            </a:endParaRPr>
          </a:p>
          <a:p>
            <a:pPr algn="l" rtl="0">
              <a:lnSpc>
                <a:spcPts val="1100"/>
              </a:lnSpc>
              <a:defRPr sz="1000"/>
            </a:pPr>
            <a:endParaRPr lang="es-ES" sz="1000" b="1" i="0" u="none" strike="noStrike" baseline="0">
              <a:solidFill>
                <a:srgbClr val="000000"/>
              </a:solidFill>
              <a:latin typeface="Arial"/>
              <a:ea typeface="Arial"/>
              <a:cs typeface="Arial"/>
            </a:endParaRPr>
          </a:p>
          <a:p>
            <a:pPr algn="l" rtl="0">
              <a:defRPr sz="1000"/>
            </a:pPr>
            <a:endParaRPr lang="es-ES" sz="1000" b="1" i="0" u="none" strike="noStrike" baseline="0">
              <a:solidFill>
                <a:srgbClr val="000000"/>
              </a:solidFill>
              <a:latin typeface="Arial"/>
              <a:ea typeface="Arial"/>
              <a:cs typeface="Arial"/>
            </a:endParaRPr>
          </a:p>
        </xdr:txBody>
      </xdr:sp>
      <mc:AlternateContent xmlns:mc="http://schemas.openxmlformats.org/markup-compatibility/2006">
        <mc:Choice xmlns:a14="http://schemas.microsoft.com/office/drawing/2010/main" Requires="a14">
          <xdr:sp macro="" textlink="">
            <xdr:nvSpPr>
              <xdr:cNvPr id="1106" name="Drop Down 82" hidden="1">
                <a:extLst>
                  <a:ext uri="{63B3BB69-23CF-44E3-9099-C40C66FF867C}">
                    <a14:compatExt spid="_x0000_s1106"/>
                  </a:ext>
                </a:extLst>
              </xdr:cNvPr>
              <xdr:cNvSpPr/>
            </xdr:nvSpPr>
            <xdr:spPr>
              <a:xfrm>
                <a:off x="1143" y="309"/>
                <a:ext cx="132" cy="29"/>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1113" name="Drop Down 89" hidden="1">
                <a:extLst>
                  <a:ext uri="{63B3BB69-23CF-44E3-9099-C40C66FF867C}">
                    <a14:compatExt spid="_x0000_s1113"/>
                  </a:ext>
                </a:extLst>
              </xdr:cNvPr>
              <xdr:cNvSpPr/>
            </xdr:nvSpPr>
            <xdr:spPr>
              <a:xfrm>
                <a:off x="1144" y="393"/>
                <a:ext cx="131" cy="29"/>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1114" name="Drop Down 90" hidden="1">
                <a:extLst>
                  <a:ext uri="{63B3BB69-23CF-44E3-9099-C40C66FF867C}">
                    <a14:compatExt spid="_x0000_s1114"/>
                  </a:ext>
                </a:extLst>
              </xdr:cNvPr>
              <xdr:cNvSpPr/>
            </xdr:nvSpPr>
            <xdr:spPr>
              <a:xfrm>
                <a:off x="1144" y="348"/>
                <a:ext cx="130" cy="30"/>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1160" name="Drop Down 136" hidden="1">
                <a:extLst>
                  <a:ext uri="{63B3BB69-23CF-44E3-9099-C40C66FF867C}">
                    <a14:compatExt spid="_x0000_s1160"/>
                  </a:ext>
                </a:extLst>
              </xdr:cNvPr>
              <xdr:cNvSpPr/>
            </xdr:nvSpPr>
            <xdr:spPr>
              <a:xfrm>
                <a:off x="1143" y="266"/>
                <a:ext cx="131" cy="27"/>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1175" name="Button 151" hidden="1">
                <a:extLst>
                  <a:ext uri="{63B3BB69-23CF-44E3-9099-C40C66FF867C}">
                    <a14:compatExt spid="_x0000_s1175"/>
                  </a:ext>
                </a:extLst>
              </xdr:cNvPr>
              <xdr:cNvSpPr/>
            </xdr:nvSpPr>
            <xdr:spPr>
              <a:xfrm>
                <a:off x="1232" y="262"/>
                <a:ext cx="48" cy="36"/>
              </a:xfrm>
              <a:prstGeom prst="rect">
                <a:avLst/>
              </a:prstGeom>
            </xdr:spPr>
            <xdr:txBody>
              <a:bodyPr vertOverflow="clip" wrap="square" lIns="27432" tIns="27432" rIns="27432" bIns="27432" anchor="ctr" upright="1"/>
              <a:lstStyle/>
              <a:p>
                <a:pPr algn="ctr" rtl="0">
                  <a:defRPr sz="1000"/>
                </a:pPr>
                <a:r>
                  <a:rPr lang="de-DE" sz="1200" b="0" i="0" u="none" strike="noStrike" baseline="0">
                    <a:solidFill>
                      <a:srgbClr val="000000"/>
                    </a:solidFill>
                    <a:latin typeface="Calibri"/>
                  </a:rPr>
                  <a:t>Type</a:t>
                </a:r>
              </a:p>
            </xdr:txBody>
          </xdr:sp>
        </mc:Choice>
        <mc:Fallback/>
      </mc:AlternateContent>
      <mc:AlternateContent xmlns:mc="http://schemas.openxmlformats.org/markup-compatibility/2006">
        <mc:Choice xmlns:a14="http://schemas.microsoft.com/office/drawing/2010/main" Requires="a14">
          <xdr:sp macro="" textlink="">
            <xdr:nvSpPr>
              <xdr:cNvPr id="1176" name="Button 152" hidden="1">
                <a:extLst>
                  <a:ext uri="{63B3BB69-23CF-44E3-9099-C40C66FF867C}">
                    <a14:compatExt spid="_x0000_s1176"/>
                  </a:ext>
                </a:extLst>
              </xdr:cNvPr>
              <xdr:cNvSpPr/>
            </xdr:nvSpPr>
            <xdr:spPr>
              <a:xfrm>
                <a:off x="1232" y="306"/>
                <a:ext cx="48" cy="36"/>
              </a:xfrm>
              <a:prstGeom prst="rect">
                <a:avLst/>
              </a:prstGeom>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T1</a:t>
                </a:r>
              </a:p>
            </xdr:txBody>
          </xdr:sp>
        </mc:Choice>
        <mc:Fallback/>
      </mc:AlternateContent>
      <mc:AlternateContent xmlns:mc="http://schemas.openxmlformats.org/markup-compatibility/2006">
        <mc:Choice xmlns:a14="http://schemas.microsoft.com/office/drawing/2010/main" Requires="a14">
          <xdr:sp macro="" textlink="">
            <xdr:nvSpPr>
              <xdr:cNvPr id="1177" name="Button 153" hidden="1">
                <a:extLst>
                  <a:ext uri="{63B3BB69-23CF-44E3-9099-C40C66FF867C}">
                    <a14:compatExt spid="_x0000_s1177"/>
                  </a:ext>
                </a:extLst>
              </xdr:cNvPr>
              <xdr:cNvSpPr/>
            </xdr:nvSpPr>
            <xdr:spPr>
              <a:xfrm>
                <a:off x="1232" y="346"/>
                <a:ext cx="47" cy="40"/>
              </a:xfrm>
              <a:prstGeom prst="rect">
                <a:avLst/>
              </a:prstGeom>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T2</a:t>
                </a:r>
              </a:p>
            </xdr:txBody>
          </xdr:sp>
        </mc:Choice>
        <mc:Fallback/>
      </mc:AlternateContent>
      <mc:AlternateContent xmlns:mc="http://schemas.openxmlformats.org/markup-compatibility/2006">
        <mc:Choice xmlns:a14="http://schemas.microsoft.com/office/drawing/2010/main" Requires="a14">
          <xdr:sp macro="" textlink="">
            <xdr:nvSpPr>
              <xdr:cNvPr id="1178" name="Button 154" hidden="1">
                <a:extLst>
                  <a:ext uri="{63B3BB69-23CF-44E3-9099-C40C66FF867C}">
                    <a14:compatExt spid="_x0000_s1178"/>
                  </a:ext>
                </a:extLst>
              </xdr:cNvPr>
              <xdr:cNvSpPr/>
            </xdr:nvSpPr>
            <xdr:spPr>
              <a:xfrm>
                <a:off x="1232" y="391"/>
                <a:ext cx="47" cy="37"/>
              </a:xfrm>
              <a:prstGeom prst="rect">
                <a:avLst/>
              </a:prstGeom>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T3</a:t>
                </a:r>
              </a:p>
            </xdr:txBody>
          </xdr:sp>
        </mc:Choice>
        <mc:Fallback/>
      </mc:AlternateContent>
    </xdr:grpSp>
    <xdr:clientData/>
  </xdr:twoCellAnchor>
  <xdr:twoCellAnchor editAs="absolute">
    <xdr:from>
      <xdr:col>13</xdr:col>
      <xdr:colOff>948267</xdr:colOff>
      <xdr:row>6</xdr:row>
      <xdr:rowOff>38100</xdr:rowOff>
    </xdr:from>
    <xdr:to>
      <xdr:col>15</xdr:col>
      <xdr:colOff>110067</xdr:colOff>
      <xdr:row>13</xdr:row>
      <xdr:rowOff>76200</xdr:rowOff>
    </xdr:to>
    <xdr:sp macro="" textlink="">
      <xdr:nvSpPr>
        <xdr:cNvPr id="1186" name="AutoShape 140"/>
        <xdr:cNvSpPr>
          <a:spLocks noChangeAspect="1" noChangeArrowheads="1"/>
        </xdr:cNvSpPr>
      </xdr:nvSpPr>
      <xdr:spPr bwMode="auto">
        <a:xfrm>
          <a:off x="11309350" y="2927350"/>
          <a:ext cx="1289050" cy="1202267"/>
        </a:xfrm>
        <a:prstGeom prst="wedgeEllipseCallout">
          <a:avLst>
            <a:gd name="adj1" fmla="val 78218"/>
            <a:gd name="adj2" fmla="val -18500"/>
          </a:avLst>
        </a:prstGeom>
        <a:solidFill>
          <a:srgbClr val="DCE6F2">
            <a:alpha val="54117"/>
          </a:srgbClr>
        </a:solidFill>
        <a:ln w="9525">
          <a:solidFill>
            <a:srgbClr val="93CDDD"/>
          </a:solidFill>
          <a:miter lim="800000"/>
          <a:headEnd/>
          <a:tailEnd/>
        </a:ln>
      </xdr:spPr>
      <xdr:txBody>
        <a:bodyPr rtlCol="0"/>
        <a:lstStyle/>
        <a:p>
          <a:pPr algn="ctr"/>
          <a:endParaRPr lang="es-E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35983</xdr:colOff>
      <xdr:row>0</xdr:row>
      <xdr:rowOff>148166</xdr:rowOff>
    </xdr:from>
    <xdr:to>
      <xdr:col>5</xdr:col>
      <xdr:colOff>86783</xdr:colOff>
      <xdr:row>3</xdr:row>
      <xdr:rowOff>52916</xdr:rowOff>
    </xdr:to>
    <xdr:sp macro="" textlink="">
      <xdr:nvSpPr>
        <xdr:cNvPr id="28673" name="AutoShape 140"/>
        <xdr:cNvSpPr>
          <a:spLocks noChangeAspect="1" noChangeArrowheads="1"/>
        </xdr:cNvSpPr>
      </xdr:nvSpPr>
      <xdr:spPr bwMode="auto">
        <a:xfrm>
          <a:off x="35983" y="148166"/>
          <a:ext cx="2770717" cy="772583"/>
        </a:xfrm>
        <a:prstGeom prst="wedgeEllipseCallout">
          <a:avLst>
            <a:gd name="adj1" fmla="val 84503"/>
            <a:gd name="adj2" fmla="val 220537"/>
          </a:avLst>
        </a:prstGeom>
        <a:solidFill>
          <a:srgbClr val="DCE6F2">
            <a:alpha val="54117"/>
          </a:srgbClr>
        </a:solidFill>
        <a:ln w="9525">
          <a:solidFill>
            <a:srgbClr val="93CDDD"/>
          </a:solidFill>
          <a:miter lim="800000"/>
          <a:headEnd/>
          <a:tailEnd/>
        </a:ln>
      </xdr:spPr>
      <xdr:txBody>
        <a:bodyPr rtlCol="0"/>
        <a:lstStyle/>
        <a:p>
          <a:pPr algn="ctr"/>
          <a:endParaRPr lang="es-ES"/>
        </a:p>
      </xdr:txBody>
    </xdr:sp>
    <xdr:clientData/>
  </xdr:twoCellAnchor>
  <xdr:twoCellAnchor editAs="oneCell">
    <xdr:from>
      <xdr:col>6</xdr:col>
      <xdr:colOff>863600</xdr:colOff>
      <xdr:row>0</xdr:row>
      <xdr:rowOff>321733</xdr:rowOff>
    </xdr:from>
    <xdr:to>
      <xdr:col>11</xdr:col>
      <xdr:colOff>279400</xdr:colOff>
      <xdr:row>2</xdr:row>
      <xdr:rowOff>46566</xdr:rowOff>
    </xdr:to>
    <xdr:sp macro="" textlink="">
      <xdr:nvSpPr>
        <xdr:cNvPr id="28674" name="AutoShape 140"/>
        <xdr:cNvSpPr>
          <a:spLocks noChangeAspect="1" noChangeArrowheads="1"/>
        </xdr:cNvSpPr>
      </xdr:nvSpPr>
      <xdr:spPr bwMode="auto">
        <a:xfrm>
          <a:off x="4483100" y="321733"/>
          <a:ext cx="2442633" cy="444500"/>
        </a:xfrm>
        <a:prstGeom prst="wedgeEllipseCallout">
          <a:avLst>
            <a:gd name="adj1" fmla="val 30870"/>
            <a:gd name="adj2" fmla="val 381095"/>
          </a:avLst>
        </a:prstGeom>
        <a:solidFill>
          <a:srgbClr val="DCE6F2">
            <a:alpha val="54117"/>
          </a:srgbClr>
        </a:solidFill>
        <a:ln w="9525">
          <a:solidFill>
            <a:srgbClr val="93CDDD"/>
          </a:solidFill>
          <a:miter lim="800000"/>
          <a:headEnd/>
          <a:tailEnd/>
        </a:ln>
      </xdr:spPr>
      <xdr:txBody>
        <a:bodyPr rtlCol="0"/>
        <a:lstStyle/>
        <a:p>
          <a:pPr algn="ctr"/>
          <a:endParaRPr lang="es-ES"/>
        </a:p>
      </xdr:txBody>
    </xdr:sp>
    <xdr:clientData/>
  </xdr:twoCellAnchor>
  <xdr:twoCellAnchor editAs="oneCell">
    <xdr:from>
      <xdr:col>6</xdr:col>
      <xdr:colOff>838199</xdr:colOff>
      <xdr:row>0</xdr:row>
      <xdr:rowOff>311150</xdr:rowOff>
    </xdr:from>
    <xdr:to>
      <xdr:col>11</xdr:col>
      <xdr:colOff>266699</xdr:colOff>
      <xdr:row>2</xdr:row>
      <xdr:rowOff>35983</xdr:rowOff>
    </xdr:to>
    <xdr:sp macro="" textlink="">
      <xdr:nvSpPr>
        <xdr:cNvPr id="28675" name="AutoShape 140"/>
        <xdr:cNvSpPr>
          <a:spLocks noChangeAspect="1" noChangeArrowheads="1"/>
        </xdr:cNvSpPr>
      </xdr:nvSpPr>
      <xdr:spPr bwMode="auto">
        <a:xfrm>
          <a:off x="4457699" y="311150"/>
          <a:ext cx="2455333" cy="444500"/>
        </a:xfrm>
        <a:prstGeom prst="wedgeEllipseCallout">
          <a:avLst>
            <a:gd name="adj1" fmla="val -50763"/>
            <a:gd name="adj2" fmla="val 384603"/>
          </a:avLst>
        </a:prstGeom>
        <a:solidFill>
          <a:srgbClr val="DCE6F2">
            <a:alpha val="54117"/>
          </a:srgbClr>
        </a:solidFill>
        <a:ln w="9525">
          <a:solidFill>
            <a:srgbClr val="93CDDD"/>
          </a:solidFill>
          <a:miter lim="800000"/>
          <a:headEnd/>
          <a:tailEnd/>
        </a:ln>
      </xdr:spPr>
      <xdr:txBody>
        <a:bodyPr rtlCol="0"/>
        <a:lstStyle/>
        <a:p>
          <a:pPr algn="ctr"/>
          <a:endParaRPr lang="es-E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nel\Downloads\Calcul%20equips%20evacuacio%20TSD%20BLANHIBLAR_esti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0-I     "/>
      <sheetName val="     1-DG     "/>
      <sheetName val="     2-DL     "/>
      <sheetName val="     3-AE     "/>
      <sheetName val="     4-R     "/>
      <sheetName val="C-L"/>
      <sheetName val="C-P"/>
      <sheetName val="C-CP"/>
      <sheetName val="C-CU"/>
    </sheetNames>
    <sheetDataSet>
      <sheetData sheetId="0"/>
      <sheetData sheetId="1">
        <row r="12">
          <cell r="D12" t="str">
            <v>Distància entre vehicles (mitjana)</v>
          </cell>
        </row>
      </sheetData>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3" name="Liste1" displayName="Liste1" ref="AH4:AW31" insertRowShift="1" totalsRowShown="0">
  <tableColumns count="16">
    <tableColumn id="6" name="MNDébut" dataDxfId="15">
      <calculatedColumnFormula>IF($C5=0,0,IF(J5=J4,0,J5))</calculatedColumnFormula>
    </tableColumn>
    <tableColumn id="1" name="MPDébut" dataDxfId="14">
      <calculatedColumnFormula>K5</calculatedColumnFormula>
    </tableColumn>
    <tableColumn id="10" name="MNFin" dataDxfId="13">
      <calculatedColumnFormula>IF(C5=0,0,(IF(J5=J6,0,J5)))</calculatedColumnFormula>
    </tableColumn>
    <tableColumn id="2" name="MPFin" dataDxfId="12">
      <calculatedColumnFormula>L5</calculatedColumnFormula>
    </tableColumn>
    <tableColumn id="14" name="MEquipRef" dataDxfId="11">
      <calculatedColumnFormula>J5</calculatedColumnFormula>
    </tableColumn>
    <tableColumn id="19" name="ML" dataDxfId="10">
      <calculatedColumnFormula>R5</calculatedColumnFormula>
    </tableColumn>
    <tableColumn id="13" name="MT2ref" dataDxfId="9">
      <calculatedColumnFormula>S5</calculatedColumnFormula>
    </tableColumn>
    <tableColumn id="20" name="MV" dataDxfId="8">
      <calculatedColumnFormula>T5</calculatedColumnFormula>
    </tableColumn>
    <tableColumn id="9" name="DNDébut" dataDxfId="7">
      <calculatedColumnFormula>IF($C5=0,0,IF(V4=V5,0,V5))</calculatedColumnFormula>
    </tableColumn>
    <tableColumn id="8" name="DPdébut" dataDxfId="6">
      <calculatedColumnFormula>W5</calculatedColumnFormula>
    </tableColumn>
    <tableColumn id="11" name="DNFin" dataDxfId="5">
      <calculatedColumnFormula>IF(C5=0,0,(IF(V5=V6,0,V5)))</calculatedColumnFormula>
    </tableColumn>
    <tableColumn id="7" name="DPFin" dataDxfId="4">
      <calculatedColumnFormula>X5</calculatedColumnFormula>
    </tableColumn>
    <tableColumn id="12" name="DEquipRef" dataDxfId="3">
      <calculatedColumnFormula>V5</calculatedColumnFormula>
    </tableColumn>
    <tableColumn id="22" name="DL" dataDxfId="2">
      <calculatedColumnFormula>AD5</calculatedColumnFormula>
    </tableColumn>
    <tableColumn id="18" name="DT2ref" dataDxfId="1">
      <calculatedColumnFormula>AE5</calculatedColumnFormula>
    </tableColumn>
    <tableColumn id="21" name="DV" dataDxfId="0">
      <calculatedColumnFormula>AF5</calculatedColumn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ctrlProp" Target="../ctrlProps/ctrlProp6.x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tabColor theme="6"/>
    <pageSetUpPr autoPageBreaks="0"/>
  </sheetPr>
  <dimension ref="A1:Q100"/>
  <sheetViews>
    <sheetView showGridLines="0" showRowColHeaders="0" tabSelected="1" showOutlineSymbols="0" topLeftCell="B1" zoomScaleNormal="100" zoomScalePageLayoutView="125" workbookViewId="0">
      <selection activeCell="G5" sqref="G5"/>
    </sheetView>
  </sheetViews>
  <sheetFormatPr baseColWidth="10" defaultColWidth="0" defaultRowHeight="12.75" x14ac:dyDescent="0.2"/>
  <cols>
    <col min="1" max="1" width="4.42578125" style="38" customWidth="1"/>
    <col min="2" max="2" width="18.42578125" style="38" customWidth="1"/>
    <col min="3" max="3" width="1" style="38" customWidth="1"/>
    <col min="4" max="6" width="35.7109375" style="38" customWidth="1"/>
    <col min="7" max="7" width="46.42578125" style="38" customWidth="1"/>
    <col min="8" max="17" width="30.7109375" style="38" customWidth="1"/>
    <col min="18" max="16384" width="0" style="38" hidden="1"/>
  </cols>
  <sheetData>
    <row r="1" spans="1:17" ht="27.95" customHeight="1" x14ac:dyDescent="0.2">
      <c r="A1" s="418"/>
      <c r="B1" s="421" t="str">
        <f>'C-L'!CX1</f>
        <v>book 26-1</v>
      </c>
      <c r="C1" s="421"/>
      <c r="D1" s="421"/>
      <c r="E1" s="421"/>
      <c r="F1" s="421"/>
      <c r="G1" s="421"/>
      <c r="H1" s="41"/>
      <c r="I1" s="41"/>
      <c r="J1" s="41"/>
      <c r="K1" s="41"/>
      <c r="L1" s="41"/>
      <c r="M1" s="41"/>
      <c r="N1" s="41"/>
      <c r="O1" s="41"/>
      <c r="P1" s="41"/>
      <c r="Q1" s="41"/>
    </row>
    <row r="2" spans="1:17" ht="15.75" x14ac:dyDescent="0.2">
      <c r="A2" s="41"/>
      <c r="B2" s="41"/>
      <c r="C2" s="41"/>
      <c r="D2" s="57" t="s">
        <v>556</v>
      </c>
      <c r="E2" s="41"/>
      <c r="F2" s="41"/>
      <c r="G2" s="41"/>
      <c r="H2" s="41"/>
      <c r="I2" s="41"/>
      <c r="J2" s="41"/>
      <c r="K2" s="41"/>
      <c r="L2" s="41"/>
      <c r="M2" s="41"/>
      <c r="N2" s="41"/>
      <c r="O2" s="41"/>
      <c r="P2" s="41"/>
      <c r="Q2" s="41"/>
    </row>
    <row r="3" spans="1:17" ht="15" customHeight="1" x14ac:dyDescent="0.2">
      <c r="A3" s="41"/>
      <c r="B3" s="41"/>
      <c r="C3" s="41"/>
      <c r="D3" s="41"/>
      <c r="E3" s="41"/>
      <c r="F3" s="41"/>
      <c r="G3" s="41"/>
      <c r="H3" s="41"/>
      <c r="I3" s="41"/>
      <c r="J3" s="41"/>
      <c r="K3" s="41"/>
      <c r="L3" s="41"/>
      <c r="M3" s="41"/>
      <c r="N3" s="41"/>
      <c r="O3" s="41"/>
      <c r="P3" s="41"/>
      <c r="Q3" s="41"/>
    </row>
    <row r="4" spans="1:17" ht="15" customHeight="1" x14ac:dyDescent="0.2">
      <c r="A4" s="41"/>
      <c r="B4" s="422" t="str">
        <f>'C-L'!AZ1</f>
        <v xml:space="preserve">This calculation sheet is set for EXCEL literate users </v>
      </c>
      <c r="C4" s="422"/>
      <c r="D4" s="422"/>
      <c r="E4" s="422"/>
      <c r="F4" s="422"/>
      <c r="G4" s="422"/>
      <c r="H4" s="41"/>
      <c r="I4" s="41"/>
      <c r="J4" s="41"/>
      <c r="K4" s="41"/>
      <c r="L4" s="41"/>
      <c r="M4" s="41"/>
      <c r="N4" s="41"/>
      <c r="O4" s="41"/>
      <c r="P4" s="41"/>
      <c r="Q4" s="41"/>
    </row>
    <row r="5" spans="1:17" ht="15" customHeight="1" x14ac:dyDescent="0.2">
      <c r="A5" s="41"/>
      <c r="B5" s="37"/>
      <c r="C5" s="37"/>
      <c r="D5" s="41"/>
      <c r="E5" s="41"/>
      <c r="F5" s="41"/>
      <c r="G5" s="41"/>
      <c r="H5" s="41"/>
      <c r="I5" s="41"/>
      <c r="J5" s="41"/>
      <c r="K5" s="41"/>
      <c r="L5" s="41"/>
      <c r="M5" s="41"/>
      <c r="N5" s="41"/>
      <c r="O5" s="41"/>
      <c r="P5" s="41"/>
      <c r="Q5" s="41"/>
    </row>
    <row r="6" spans="1:17" ht="15" customHeight="1" x14ac:dyDescent="0.2">
      <c r="A6" s="41"/>
      <c r="B6" s="423" t="str">
        <f>'C-L'!AY1</f>
        <v>This calculation sheet is planned for a maximum of 25 towers (26 spans) and 12 teams</v>
      </c>
      <c r="C6" s="423"/>
      <c r="D6" s="423"/>
      <c r="E6" s="423"/>
      <c r="F6" s="423"/>
      <c r="G6" s="423"/>
      <c r="H6" s="41"/>
      <c r="I6" s="41"/>
      <c r="J6" s="41"/>
      <c r="K6" s="41"/>
      <c r="L6" s="41"/>
      <c r="M6" s="41"/>
      <c r="N6" s="41"/>
      <c r="O6" s="41"/>
      <c r="P6" s="41"/>
      <c r="Q6" s="41"/>
    </row>
    <row r="7" spans="1:17" ht="15" customHeight="1" x14ac:dyDescent="0.2">
      <c r="A7" s="41"/>
      <c r="B7" s="37"/>
      <c r="C7" s="37"/>
      <c r="D7" s="41"/>
      <c r="E7" s="41"/>
      <c r="F7" s="41"/>
      <c r="G7" s="41"/>
      <c r="H7" s="41"/>
      <c r="I7" s="41"/>
      <c r="J7" s="41"/>
      <c r="K7" s="41"/>
      <c r="L7" s="41"/>
      <c r="M7" s="41"/>
      <c r="N7" s="41"/>
      <c r="O7" s="41"/>
      <c r="P7" s="41"/>
      <c r="Q7" s="41"/>
    </row>
    <row r="8" spans="1:17" ht="78.75" customHeight="1" x14ac:dyDescent="0.2">
      <c r="A8" s="41"/>
      <c r="B8" s="429" t="str">
        <f>'C-L'!BA1</f>
        <v>The calculation of the program starts with the general data on the sheet 1-DG. Data should be introduced.
There is a listbox of values ​​that can be used as a reference.
On sheet 2-DL,line data, inclined span length and times T1, T2, T3, T4 should be introduced, considering:</v>
      </c>
      <c r="C8" s="429"/>
      <c r="D8" s="429"/>
      <c r="E8" s="429"/>
      <c r="F8" s="429"/>
      <c r="G8" s="429"/>
      <c r="H8" s="41"/>
      <c r="I8" s="41"/>
      <c r="J8" s="41"/>
      <c r="K8" s="41"/>
      <c r="L8" s="41"/>
      <c r="M8" s="41"/>
      <c r="N8" s="41"/>
      <c r="O8" s="41"/>
      <c r="P8" s="41"/>
      <c r="Q8" s="41"/>
    </row>
    <row r="9" spans="1:17" ht="15" customHeight="1" thickBot="1" x14ac:dyDescent="0.25">
      <c r="A9" s="41"/>
      <c r="B9" s="41"/>
      <c r="C9" s="41"/>
      <c r="D9" s="41"/>
      <c r="E9" s="41"/>
      <c r="F9" s="41"/>
      <c r="G9" s="41"/>
      <c r="H9" s="41"/>
      <c r="I9" s="41"/>
      <c r="J9" s="41"/>
      <c r="K9" s="41"/>
      <c r="L9" s="41"/>
      <c r="M9" s="41"/>
      <c r="N9" s="41"/>
      <c r="O9" s="41"/>
      <c r="P9" s="41"/>
      <c r="Q9" s="41"/>
    </row>
    <row r="10" spans="1:17" ht="110.25" customHeight="1" thickBot="1" x14ac:dyDescent="0.25">
      <c r="A10" s="41"/>
      <c r="B10" s="60" t="str">
        <f>"T1"&amp;"                      "&amp;'C-L'!AD1</f>
        <v>T1                      Access time to the tower and to arrive to the first vehicle</v>
      </c>
      <c r="C10" s="379"/>
      <c r="D10" s="425" t="str">
        <f>'C-L'!BB1</f>
        <v>The time depends on:
- dissplacement way, eg with skis or grooming machine (snowcat)
- Difficult access to the tower, eg avalanche area, rocky or steep zone
- Difficult access to the first vehicle to evacuate, ie a height of 50 m requires use recovery platforms
- Place of departure, eg closest resort, resort base, the other side of the resort ...</v>
      </c>
      <c r="E10" s="426"/>
      <c r="F10" s="426"/>
      <c r="G10" s="426"/>
      <c r="H10" s="41"/>
      <c r="I10" s="42"/>
      <c r="J10" s="42"/>
      <c r="K10" s="42"/>
      <c r="L10" s="42"/>
      <c r="M10" s="42"/>
      <c r="N10" s="42"/>
      <c r="O10" s="42"/>
      <c r="P10" s="41"/>
      <c r="Q10" s="41"/>
    </row>
    <row r="11" spans="1:17" ht="5.0999999999999996" customHeight="1" thickBot="1" x14ac:dyDescent="0.25">
      <c r="A11" s="41"/>
      <c r="B11" s="39"/>
      <c r="C11" s="39"/>
      <c r="D11" s="40"/>
      <c r="E11" s="41"/>
      <c r="F11" s="41"/>
      <c r="G11" s="41"/>
      <c r="H11" s="41"/>
      <c r="I11" s="41"/>
      <c r="J11" s="41"/>
      <c r="K11" s="41"/>
      <c r="L11" s="41"/>
      <c r="M11" s="41"/>
      <c r="N11" s="41"/>
      <c r="O11" s="41"/>
      <c r="P11" s="41"/>
      <c r="Q11" s="41"/>
    </row>
    <row r="12" spans="1:17" ht="144.75" customHeight="1" thickBot="1" x14ac:dyDescent="0.25">
      <c r="A12" s="41"/>
      <c r="B12" s="60" t="str">
        <f>"T2"&amp;"                     "&amp;'C-L'!AE1</f>
        <v>T2                     Average time to evacuate a full vehicle and to go to the next one</v>
      </c>
      <c r="C12" s="379"/>
      <c r="D12" s="427" t="str">
        <f>'C-L'!BC1</f>
        <v>The time depends on:
- Material used for evacuation, eg vertical evacuation: RG10, Chouca, D09 ...
- Type of vehicle, eg chair or booth
- Height under the vehicle, eg a 80m descent of a passenger is managed differently from 15m
- Number of passengers per vehicle
Consider passenger equipment (skis, mountain bike ...)
Testing time and/or operator experience might be used to get the estimated time</v>
      </c>
      <c r="E12" s="428"/>
      <c r="F12" s="428"/>
      <c r="G12" s="428"/>
      <c r="H12" s="41"/>
      <c r="I12" s="41"/>
      <c r="J12" s="41"/>
      <c r="K12" s="41"/>
      <c r="L12" s="41"/>
      <c r="M12" s="41"/>
      <c r="N12" s="41"/>
      <c r="O12" s="41"/>
      <c r="P12" s="41"/>
      <c r="Q12" s="41"/>
    </row>
    <row r="13" spans="1:17" ht="5.0999999999999996" customHeight="1" thickBot="1" x14ac:dyDescent="0.25">
      <c r="A13" s="41"/>
      <c r="B13" s="39"/>
      <c r="C13" s="39"/>
      <c r="D13" s="40"/>
      <c r="E13" s="41"/>
      <c r="F13" s="41"/>
      <c r="G13" s="41"/>
      <c r="H13" s="41"/>
      <c r="I13" s="41"/>
      <c r="J13" s="41"/>
      <c r="K13" s="41"/>
      <c r="L13" s="41"/>
      <c r="M13" s="41"/>
      <c r="N13" s="41"/>
      <c r="O13" s="41"/>
      <c r="P13" s="41"/>
      <c r="Q13" s="41"/>
    </row>
    <row r="14" spans="1:17" ht="161.25" customHeight="1" thickBot="1" x14ac:dyDescent="0.25">
      <c r="A14" s="41"/>
      <c r="B14" s="60" t="str">
        <f>"T3"&amp;"                        "&amp;'C-L'!AF1</f>
        <v>T3                        Time to cross a tower between two vehicles of the same section</v>
      </c>
      <c r="C14" s="379"/>
      <c r="D14" s="427" t="str">
        <f>'C-L'!BD1</f>
        <v>The time depends on:
- the material used for evacuation, eg vertical evacuation: RG10, Chouca, D09 ...
- the type of vehicle, eg chair or cabin
- the lift line height under the vehicle, eg at 80 m height lowering of a passenger is managed differently from 15 m.
- the number of passenger per vehicle, eg the%% uphill and downhill influence the average time of each branch (ascending or descending)
Considerer passenger equipment (skis, mountain bike ...)
Testing time and/or operator experience might be used to get the estimated time
Time = duration of the evacuation of a complete vehicle</v>
      </c>
      <c r="E14" s="428"/>
      <c r="F14" s="428"/>
      <c r="G14" s="428"/>
      <c r="H14" s="41"/>
      <c r="I14" s="41"/>
      <c r="J14" s="41"/>
      <c r="K14" s="41"/>
      <c r="L14" s="41"/>
      <c r="M14" s="41"/>
      <c r="N14" s="41"/>
      <c r="O14" s="41"/>
      <c r="P14" s="41"/>
      <c r="Q14" s="41"/>
    </row>
    <row r="15" spans="1:17" ht="5.0999999999999996" customHeight="1" thickBot="1" x14ac:dyDescent="0.25">
      <c r="A15" s="41"/>
      <c r="B15" s="39"/>
      <c r="C15" s="39"/>
      <c r="D15" s="40"/>
      <c r="E15" s="41"/>
      <c r="F15" s="41"/>
      <c r="G15" s="41"/>
      <c r="H15" s="41"/>
      <c r="I15" s="41"/>
      <c r="J15" s="41"/>
      <c r="K15" s="41"/>
      <c r="L15" s="41"/>
      <c r="M15" s="41"/>
      <c r="N15" s="41"/>
      <c r="O15" s="41"/>
      <c r="P15" s="41"/>
      <c r="Q15" s="41"/>
    </row>
    <row r="16" spans="1:17" ht="102" customHeight="1" thickBot="1" x14ac:dyDescent="0.25">
      <c r="A16" s="41"/>
      <c r="B16" s="60" t="str">
        <f>"T4"&amp;"                    "&amp;'C-L'!AG1</f>
        <v>T4                    Maximum time to bring back the last passenger to a safe place</v>
      </c>
      <c r="C16" s="379"/>
      <c r="D16" s="427" t="str">
        <f>'C-L'!BE1</f>
        <v xml:space="preserve">The time changes depending on:
- Displace mode, eg walking, grooming machine ...
- The trail difficulty to the safe place, eg avalanch area or cliff zone or steep area
- Of the day time of the evacuation, eg night return
</v>
      </c>
      <c r="E16" s="428"/>
      <c r="F16" s="428"/>
      <c r="G16" s="428"/>
      <c r="H16" s="41"/>
      <c r="I16" s="41"/>
      <c r="J16" s="41"/>
      <c r="K16" s="41"/>
      <c r="L16" s="41"/>
      <c r="M16" s="41"/>
      <c r="N16" s="41"/>
      <c r="O16" s="41"/>
      <c r="P16" s="41"/>
      <c r="Q16" s="41"/>
    </row>
    <row r="17" spans="1:17" ht="15" customHeight="1" x14ac:dyDescent="0.2">
      <c r="A17" s="41"/>
      <c r="B17" s="41"/>
      <c r="C17" s="41"/>
      <c r="D17" s="58"/>
      <c r="E17" s="58"/>
      <c r="F17" s="58"/>
      <c r="G17" s="58"/>
      <c r="H17" s="41"/>
      <c r="I17" s="41"/>
      <c r="J17" s="41"/>
      <c r="K17" s="41"/>
      <c r="L17" s="41"/>
      <c r="M17" s="41"/>
      <c r="N17" s="41"/>
      <c r="O17" s="41"/>
      <c r="P17" s="41"/>
      <c r="Q17" s="41"/>
    </row>
    <row r="18" spans="1:17" ht="79.5" customHeight="1" x14ac:dyDescent="0.2">
      <c r="A18" s="41"/>
      <c r="B18" s="429" t="str">
        <f>'C-L'!BF1</f>
        <v>The values ​​of T2 and T3 can be the same for all spans or have a different value for each of them.
If the values ​​are equal, choose from the listbox "identical spans" and enter the appropriate value from the listbox below.
If the values ​​are different, entry them on the lower cells, one for each span</v>
      </c>
      <c r="C18" s="429"/>
      <c r="D18" s="429"/>
      <c r="E18" s="429"/>
      <c r="F18" s="429"/>
      <c r="G18" s="429"/>
      <c r="H18" s="41"/>
      <c r="I18" s="41"/>
      <c r="J18" s="41"/>
      <c r="K18" s="41"/>
      <c r="L18" s="41"/>
      <c r="M18" s="41"/>
      <c r="N18" s="41"/>
      <c r="O18" s="41"/>
      <c r="P18" s="41"/>
      <c r="Q18" s="41"/>
    </row>
    <row r="19" spans="1:17" x14ac:dyDescent="0.2">
      <c r="A19" s="41"/>
      <c r="B19" s="41"/>
      <c r="C19" s="41"/>
      <c r="D19" s="41"/>
      <c r="E19" s="41"/>
      <c r="F19" s="41"/>
      <c r="G19" s="41"/>
      <c r="H19" s="41"/>
      <c r="I19" s="41"/>
      <c r="J19" s="41"/>
      <c r="K19" s="41"/>
      <c r="L19" s="41"/>
      <c r="M19" s="41"/>
      <c r="N19" s="41"/>
      <c r="O19" s="41"/>
      <c r="P19" s="41"/>
      <c r="Q19" s="41"/>
    </row>
    <row r="20" spans="1:17" ht="15.75" x14ac:dyDescent="0.2">
      <c r="A20" s="41"/>
      <c r="B20" s="431" t="str">
        <f>'C-L'!BG1</f>
        <v>If you have not entered all the data on sheet 1-DG, an error message appears on sheet 2-DL.</v>
      </c>
      <c r="C20" s="431"/>
      <c r="D20" s="431"/>
      <c r="E20" s="431"/>
      <c r="F20" s="431"/>
      <c r="G20" s="431"/>
      <c r="H20" s="41"/>
      <c r="I20" s="41"/>
      <c r="J20" s="41"/>
      <c r="K20" s="41"/>
      <c r="L20" s="41"/>
      <c r="M20" s="41"/>
      <c r="N20" s="41"/>
      <c r="O20" s="41"/>
      <c r="P20" s="41"/>
      <c r="Q20" s="41"/>
    </row>
    <row r="21" spans="1:17" x14ac:dyDescent="0.2">
      <c r="A21" s="41"/>
      <c r="B21" s="41"/>
      <c r="C21" s="41"/>
      <c r="D21" s="41"/>
      <c r="E21" s="41"/>
      <c r="F21" s="41"/>
      <c r="G21" s="41"/>
      <c r="H21" s="41"/>
      <c r="I21" s="41"/>
      <c r="J21" s="41"/>
      <c r="K21" s="41"/>
      <c r="L21" s="41"/>
      <c r="M21" s="41"/>
      <c r="N21" s="41"/>
      <c r="O21" s="41"/>
      <c r="P21" s="41"/>
      <c r="Q21" s="41"/>
    </row>
    <row r="22" spans="1:17" ht="15" x14ac:dyDescent="0.2">
      <c r="A22" s="41"/>
      <c r="B22" s="59"/>
      <c r="C22" s="59"/>
      <c r="D22" s="41"/>
      <c r="E22" s="41"/>
      <c r="F22" s="41"/>
      <c r="G22" s="41"/>
      <c r="H22" s="41"/>
      <c r="I22" s="41"/>
      <c r="J22" s="41"/>
      <c r="K22" s="41"/>
      <c r="L22" s="41"/>
      <c r="M22" s="41"/>
      <c r="N22" s="41"/>
      <c r="O22" s="41"/>
      <c r="P22" s="41"/>
      <c r="Q22" s="41"/>
    </row>
    <row r="23" spans="1:17" ht="36.75" customHeight="1" x14ac:dyDescent="0.2">
      <c r="A23" s="41"/>
      <c r="B23" s="429" t="str">
        <f>'C-L'!BH1</f>
        <v>The sheet 3-AE, assignment of equipment, calculates the distribution of equipment per sections.
The input values ​​can be the one displayed in the program or those that seem most appropriate.</v>
      </c>
      <c r="C23" s="429"/>
      <c r="D23" s="429"/>
      <c r="E23" s="429"/>
      <c r="F23" s="429"/>
      <c r="G23" s="429"/>
      <c r="H23" s="41"/>
      <c r="I23" s="41"/>
      <c r="J23" s="41"/>
      <c r="K23" s="41"/>
      <c r="L23" s="41"/>
      <c r="M23" s="41"/>
      <c r="N23" s="41"/>
      <c r="O23" s="41"/>
      <c r="P23" s="41"/>
      <c r="Q23" s="41"/>
    </row>
    <row r="24" spans="1:17" x14ac:dyDescent="0.2">
      <c r="A24" s="41"/>
      <c r="B24" s="41"/>
      <c r="C24" s="41"/>
      <c r="D24" s="41"/>
      <c r="E24" s="41"/>
      <c r="F24" s="41"/>
      <c r="G24" s="41"/>
      <c r="H24" s="41"/>
      <c r="I24" s="41"/>
      <c r="J24" s="41"/>
      <c r="K24" s="41"/>
      <c r="L24" s="41"/>
      <c r="M24" s="41"/>
      <c r="N24" s="41"/>
      <c r="O24" s="41"/>
      <c r="P24" s="41"/>
      <c r="Q24" s="41"/>
    </row>
    <row r="25" spans="1:17" ht="15.75" x14ac:dyDescent="0.2">
      <c r="A25" s="41"/>
      <c r="B25" s="430" t="str">
        <f>'C-L'!BI1</f>
        <v>If you have not entered all the data on sheet 1-DG or 2-DL, an error message appears on the sheet 3-AE.</v>
      </c>
      <c r="C25" s="430"/>
      <c r="D25" s="430"/>
      <c r="E25" s="430"/>
      <c r="F25" s="430"/>
      <c r="G25" s="430"/>
      <c r="H25" s="41"/>
      <c r="I25" s="41"/>
      <c r="J25" s="41"/>
      <c r="K25" s="41"/>
      <c r="L25" s="41"/>
      <c r="M25" s="41"/>
      <c r="N25" s="41"/>
      <c r="O25" s="41"/>
      <c r="P25" s="41"/>
      <c r="Q25" s="41"/>
    </row>
    <row r="26" spans="1:17" x14ac:dyDescent="0.2">
      <c r="A26" s="41"/>
      <c r="B26" s="41"/>
      <c r="C26" s="41"/>
      <c r="D26" s="41"/>
      <c r="E26" s="41"/>
      <c r="F26" s="41"/>
      <c r="G26" s="41"/>
      <c r="H26" s="41"/>
      <c r="I26" s="41"/>
      <c r="J26" s="41"/>
      <c r="K26" s="41"/>
      <c r="L26" s="41"/>
      <c r="M26" s="41"/>
      <c r="N26" s="41"/>
      <c r="O26" s="41"/>
      <c r="P26" s="41"/>
      <c r="Q26" s="41"/>
    </row>
    <row r="27" spans="1:17" x14ac:dyDescent="0.2">
      <c r="A27" s="41"/>
      <c r="B27" s="41"/>
      <c r="C27" s="41"/>
      <c r="D27" s="41"/>
      <c r="E27" s="41"/>
      <c r="F27" s="41"/>
      <c r="G27" s="41"/>
      <c r="H27" s="41"/>
      <c r="I27" s="41"/>
      <c r="J27" s="41"/>
      <c r="K27" s="41"/>
      <c r="L27" s="41"/>
      <c r="M27" s="41"/>
      <c r="N27" s="41"/>
      <c r="O27" s="41"/>
      <c r="P27" s="41"/>
      <c r="Q27" s="41"/>
    </row>
    <row r="28" spans="1:17" ht="15" x14ac:dyDescent="0.2">
      <c r="A28" s="41"/>
      <c r="B28" s="429" t="str">
        <f>'C-L'!CW1</f>
        <v>4-R sheet, results, is a data entry overview and the evacuation team distribution. Ready to print.</v>
      </c>
      <c r="C28" s="429"/>
      <c r="D28" s="429"/>
      <c r="E28" s="429"/>
      <c r="F28" s="429"/>
      <c r="G28" s="429"/>
      <c r="H28" s="41"/>
      <c r="I28" s="41"/>
      <c r="J28" s="41"/>
      <c r="K28" s="41"/>
      <c r="L28" s="41"/>
      <c r="M28" s="41"/>
      <c r="N28" s="41"/>
      <c r="O28" s="41"/>
      <c r="P28" s="41"/>
      <c r="Q28" s="41"/>
    </row>
    <row r="29" spans="1:17" x14ac:dyDescent="0.2">
      <c r="A29" s="41"/>
      <c r="B29" s="41"/>
      <c r="C29" s="41"/>
      <c r="D29" s="41"/>
      <c r="E29" s="41"/>
      <c r="F29" s="41"/>
      <c r="G29" s="41"/>
      <c r="H29" s="41"/>
      <c r="I29" s="41"/>
      <c r="J29" s="41"/>
      <c r="K29" s="41"/>
      <c r="L29" s="41"/>
      <c r="M29" s="41"/>
      <c r="N29" s="41"/>
      <c r="O29" s="41"/>
      <c r="P29" s="41"/>
      <c r="Q29" s="41"/>
    </row>
    <row r="30" spans="1:17" ht="57.75" customHeight="1" x14ac:dyDescent="0.2">
      <c r="A30" s="41"/>
      <c r="B30" s="424" t="str">
        <f>'C-L'!BJ1</f>
        <v>I have read and accepted the conditions of use of this Excel sheet. I declare to assume all responsibilities related to the use of data produced by this file, whether true or false.</v>
      </c>
      <c r="C30" s="424"/>
      <c r="D30" s="424"/>
      <c r="E30" s="424"/>
      <c r="F30" s="424"/>
      <c r="G30" s="424"/>
      <c r="H30" s="41"/>
      <c r="I30" s="41"/>
      <c r="J30" s="41"/>
      <c r="K30" s="41"/>
      <c r="L30" s="41"/>
      <c r="M30" s="41"/>
      <c r="N30" s="41"/>
      <c r="O30" s="41"/>
      <c r="P30" s="41"/>
      <c r="Q30" s="41"/>
    </row>
    <row r="31" spans="1:17" x14ac:dyDescent="0.2">
      <c r="A31" s="41"/>
      <c r="B31" s="41"/>
      <c r="C31" s="41"/>
      <c r="D31" s="41"/>
      <c r="E31" s="41"/>
      <c r="F31" s="41"/>
      <c r="G31" s="41"/>
      <c r="H31" s="41"/>
      <c r="I31" s="41"/>
      <c r="J31" s="41"/>
      <c r="K31" s="41"/>
      <c r="L31" s="41"/>
      <c r="M31" s="41"/>
      <c r="N31" s="41"/>
      <c r="O31" s="41"/>
      <c r="P31" s="41"/>
      <c r="Q31" s="41"/>
    </row>
    <row r="32" spans="1:17" x14ac:dyDescent="0.2">
      <c r="A32" s="41"/>
      <c r="B32" s="41"/>
      <c r="C32" s="41"/>
      <c r="D32" s="41"/>
      <c r="E32" s="41"/>
      <c r="F32" s="41"/>
      <c r="G32" s="41"/>
      <c r="H32" s="41"/>
      <c r="I32" s="41"/>
      <c r="J32" s="41"/>
      <c r="K32" s="41"/>
      <c r="L32" s="41"/>
      <c r="M32" s="41"/>
      <c r="N32" s="41"/>
      <c r="O32" s="41"/>
      <c r="P32" s="41"/>
      <c r="Q32" s="41"/>
    </row>
    <row r="33" spans="1:17" x14ac:dyDescent="0.2">
      <c r="A33" s="41"/>
      <c r="B33" s="41"/>
      <c r="C33" s="41"/>
      <c r="D33" s="41"/>
      <c r="E33" s="41"/>
      <c r="F33" s="41"/>
      <c r="G33" s="41"/>
      <c r="H33" s="41"/>
      <c r="I33" s="41"/>
      <c r="J33" s="41"/>
      <c r="K33" s="41"/>
      <c r="L33" s="41"/>
      <c r="M33" s="41"/>
      <c r="N33" s="41"/>
      <c r="O33" s="41"/>
      <c r="P33" s="41"/>
      <c r="Q33" s="41"/>
    </row>
    <row r="34" spans="1:17" x14ac:dyDescent="0.2">
      <c r="A34" s="41"/>
      <c r="B34" s="41"/>
      <c r="C34" s="41"/>
      <c r="D34" s="41"/>
      <c r="E34" s="41"/>
      <c r="F34" s="41"/>
      <c r="G34" s="41"/>
      <c r="H34" s="41"/>
      <c r="I34" s="41"/>
      <c r="J34" s="41"/>
      <c r="K34" s="41"/>
      <c r="L34" s="41"/>
      <c r="M34" s="41"/>
      <c r="N34" s="41"/>
      <c r="O34" s="41"/>
      <c r="P34" s="41"/>
      <c r="Q34" s="41"/>
    </row>
    <row r="35" spans="1:17" x14ac:dyDescent="0.2">
      <c r="A35" s="41"/>
      <c r="B35" s="41"/>
      <c r="C35" s="41"/>
      <c r="D35" s="41"/>
      <c r="E35" s="41"/>
      <c r="F35" s="41"/>
      <c r="G35" s="41"/>
      <c r="H35" s="41"/>
      <c r="I35" s="41"/>
      <c r="J35" s="41"/>
      <c r="K35" s="41"/>
      <c r="L35" s="41"/>
      <c r="M35" s="41"/>
      <c r="N35" s="41"/>
      <c r="O35" s="41"/>
      <c r="P35" s="41"/>
      <c r="Q35" s="41"/>
    </row>
    <row r="36" spans="1:17" x14ac:dyDescent="0.2">
      <c r="A36" s="41"/>
      <c r="B36" s="41"/>
      <c r="C36" s="41"/>
      <c r="D36" s="41"/>
      <c r="E36" s="41"/>
      <c r="F36" s="41"/>
      <c r="G36" s="41"/>
      <c r="H36" s="41"/>
      <c r="I36" s="41"/>
      <c r="J36" s="41"/>
      <c r="K36" s="41"/>
      <c r="L36" s="41"/>
      <c r="M36" s="41"/>
      <c r="N36" s="41"/>
      <c r="O36" s="41"/>
      <c r="P36" s="41"/>
      <c r="Q36" s="41"/>
    </row>
    <row r="37" spans="1:17" x14ac:dyDescent="0.2">
      <c r="A37" s="41"/>
      <c r="B37" s="41"/>
      <c r="C37" s="41"/>
      <c r="D37" s="41"/>
      <c r="E37" s="41"/>
      <c r="F37" s="41"/>
      <c r="G37" s="41"/>
      <c r="H37" s="41"/>
      <c r="I37" s="41"/>
      <c r="J37" s="41"/>
      <c r="K37" s="41"/>
      <c r="L37" s="41"/>
      <c r="M37" s="41"/>
      <c r="N37" s="41"/>
      <c r="O37" s="41"/>
      <c r="P37" s="41"/>
      <c r="Q37" s="41"/>
    </row>
    <row r="38" spans="1:17" ht="20.100000000000001" customHeight="1" x14ac:dyDescent="0.2">
      <c r="A38" s="41"/>
      <c r="B38" s="41"/>
      <c r="C38" s="41"/>
      <c r="D38" s="41"/>
      <c r="E38" s="41"/>
      <c r="F38" s="41"/>
      <c r="G38" s="41"/>
      <c r="H38" s="41"/>
      <c r="I38" s="41"/>
      <c r="J38" s="41"/>
      <c r="K38" s="41"/>
      <c r="L38" s="41"/>
      <c r="M38" s="41"/>
      <c r="N38" s="41"/>
      <c r="O38" s="41"/>
      <c r="P38" s="41"/>
      <c r="Q38" s="41"/>
    </row>
    <row r="39" spans="1:17" x14ac:dyDescent="0.2">
      <c r="A39" s="41"/>
      <c r="B39" s="41"/>
      <c r="C39" s="41"/>
      <c r="D39" s="41"/>
      <c r="E39" s="41"/>
      <c r="F39" s="41"/>
      <c r="G39" s="41"/>
      <c r="H39" s="41"/>
      <c r="I39" s="41"/>
      <c r="J39" s="41"/>
      <c r="K39" s="41"/>
      <c r="L39" s="41"/>
      <c r="M39" s="41"/>
      <c r="N39" s="41"/>
      <c r="O39" s="41"/>
      <c r="P39" s="41"/>
      <c r="Q39" s="41"/>
    </row>
    <row r="40" spans="1:17" x14ac:dyDescent="0.2">
      <c r="A40" s="41"/>
      <c r="B40" s="41"/>
      <c r="C40" s="41"/>
      <c r="D40" s="41"/>
      <c r="E40" s="41"/>
      <c r="F40" s="41"/>
      <c r="G40" s="41"/>
      <c r="H40" s="41"/>
      <c r="I40" s="41"/>
      <c r="J40" s="41"/>
      <c r="K40" s="41"/>
      <c r="L40" s="41"/>
      <c r="M40" s="41"/>
      <c r="N40" s="41"/>
      <c r="O40" s="41"/>
      <c r="P40" s="41"/>
      <c r="Q40" s="41"/>
    </row>
    <row r="41" spans="1:17" x14ac:dyDescent="0.2">
      <c r="A41" s="41"/>
      <c r="B41" s="41"/>
      <c r="C41" s="41"/>
      <c r="D41" s="41"/>
      <c r="E41" s="41"/>
      <c r="F41" s="41"/>
      <c r="G41" s="41"/>
      <c r="H41" s="41"/>
      <c r="I41" s="41"/>
      <c r="J41" s="41"/>
      <c r="K41" s="41"/>
      <c r="L41" s="41"/>
      <c r="M41" s="41"/>
      <c r="N41" s="41"/>
      <c r="O41" s="41"/>
      <c r="P41" s="41"/>
      <c r="Q41" s="41"/>
    </row>
    <row r="42" spans="1:17" x14ac:dyDescent="0.2">
      <c r="A42" s="41"/>
      <c r="B42" s="41"/>
      <c r="C42" s="41"/>
      <c r="D42" s="41"/>
      <c r="E42" s="41"/>
      <c r="F42" s="41"/>
      <c r="G42" s="41"/>
      <c r="H42" s="41"/>
      <c r="I42" s="41"/>
      <c r="J42" s="41"/>
      <c r="K42" s="41"/>
      <c r="L42" s="41"/>
      <c r="M42" s="41"/>
      <c r="N42" s="41"/>
      <c r="O42" s="41"/>
      <c r="P42" s="41"/>
      <c r="Q42" s="41"/>
    </row>
    <row r="43" spans="1:17" x14ac:dyDescent="0.2">
      <c r="A43" s="41"/>
      <c r="B43" s="41"/>
      <c r="C43" s="41"/>
      <c r="D43" s="41"/>
      <c r="E43" s="41"/>
      <c r="F43" s="41"/>
      <c r="G43" s="41"/>
      <c r="H43" s="41"/>
      <c r="I43" s="41"/>
      <c r="J43" s="41"/>
      <c r="K43" s="41"/>
      <c r="L43" s="41"/>
      <c r="M43" s="41"/>
      <c r="N43" s="41"/>
      <c r="O43" s="41"/>
      <c r="P43" s="41"/>
      <c r="Q43" s="41"/>
    </row>
    <row r="44" spans="1:17" x14ac:dyDescent="0.2">
      <c r="A44" s="41"/>
      <c r="B44" s="41"/>
      <c r="C44" s="41"/>
      <c r="D44" s="41"/>
      <c r="E44" s="41"/>
      <c r="F44" s="41"/>
      <c r="G44" s="41"/>
      <c r="H44" s="41"/>
      <c r="I44" s="41"/>
      <c r="J44" s="41"/>
      <c r="K44" s="41"/>
      <c r="L44" s="41"/>
      <c r="M44" s="41"/>
      <c r="N44" s="41"/>
      <c r="O44" s="41"/>
      <c r="P44" s="41"/>
      <c r="Q44" s="41"/>
    </row>
    <row r="45" spans="1:17" x14ac:dyDescent="0.2">
      <c r="A45" s="41"/>
      <c r="B45" s="41"/>
      <c r="C45" s="41"/>
      <c r="D45" s="41"/>
      <c r="E45" s="41"/>
      <c r="F45" s="41"/>
      <c r="G45" s="41"/>
      <c r="H45" s="41"/>
      <c r="I45" s="41"/>
      <c r="J45" s="41"/>
      <c r="K45" s="41"/>
      <c r="L45" s="41"/>
      <c r="M45" s="41"/>
      <c r="N45" s="41"/>
      <c r="O45" s="41"/>
      <c r="P45" s="41"/>
      <c r="Q45" s="41"/>
    </row>
    <row r="46" spans="1:17" x14ac:dyDescent="0.2">
      <c r="A46" s="41"/>
      <c r="B46" s="41"/>
      <c r="C46" s="41"/>
      <c r="D46" s="41"/>
      <c r="E46" s="41"/>
      <c r="F46" s="41"/>
      <c r="G46" s="41"/>
      <c r="H46" s="41"/>
      <c r="I46" s="41"/>
      <c r="J46" s="41"/>
      <c r="K46" s="41"/>
      <c r="L46" s="41"/>
      <c r="M46" s="41"/>
      <c r="N46" s="41"/>
      <c r="O46" s="41"/>
      <c r="P46" s="41"/>
      <c r="Q46" s="41"/>
    </row>
    <row r="47" spans="1:17" x14ac:dyDescent="0.2">
      <c r="A47" s="41"/>
      <c r="B47" s="41"/>
      <c r="C47" s="41"/>
      <c r="D47" s="41"/>
      <c r="E47" s="41"/>
      <c r="F47" s="41"/>
      <c r="G47" s="41"/>
      <c r="H47" s="41"/>
      <c r="I47" s="41"/>
      <c r="J47" s="41"/>
      <c r="K47" s="41"/>
      <c r="L47" s="41"/>
      <c r="M47" s="41"/>
      <c r="N47" s="41"/>
      <c r="O47" s="41"/>
      <c r="P47" s="41"/>
      <c r="Q47" s="41"/>
    </row>
    <row r="48" spans="1:17" x14ac:dyDescent="0.2">
      <c r="A48" s="41"/>
      <c r="B48" s="41"/>
      <c r="C48" s="41"/>
      <c r="D48" s="41"/>
      <c r="E48" s="41"/>
      <c r="F48" s="41"/>
      <c r="G48" s="41"/>
      <c r="H48" s="41"/>
      <c r="I48" s="41"/>
      <c r="J48" s="41"/>
      <c r="K48" s="41"/>
      <c r="L48" s="41"/>
      <c r="M48" s="41"/>
      <c r="N48" s="41"/>
      <c r="O48" s="41"/>
      <c r="P48" s="41"/>
      <c r="Q48" s="41"/>
    </row>
    <row r="49" spans="1:17" x14ac:dyDescent="0.2">
      <c r="A49" s="41"/>
      <c r="B49" s="41"/>
      <c r="C49" s="41"/>
      <c r="D49" s="41"/>
      <c r="E49" s="41"/>
      <c r="F49" s="41"/>
      <c r="G49" s="41"/>
      <c r="H49" s="41"/>
      <c r="I49" s="41"/>
      <c r="J49" s="41"/>
      <c r="K49" s="41"/>
      <c r="L49" s="41"/>
      <c r="M49" s="41"/>
      <c r="N49" s="41"/>
      <c r="O49" s="41"/>
      <c r="P49" s="41"/>
      <c r="Q49" s="41"/>
    </row>
    <row r="50" spans="1:17" x14ac:dyDescent="0.2">
      <c r="A50" s="41"/>
      <c r="B50" s="41"/>
      <c r="C50" s="41"/>
      <c r="D50" s="41"/>
      <c r="E50" s="41"/>
      <c r="F50" s="41"/>
      <c r="G50" s="41"/>
      <c r="H50" s="41"/>
      <c r="I50" s="41"/>
      <c r="J50" s="41"/>
      <c r="K50" s="41"/>
      <c r="L50" s="41"/>
      <c r="M50" s="41"/>
      <c r="N50" s="41"/>
      <c r="O50" s="41"/>
      <c r="P50" s="41"/>
      <c r="Q50" s="41"/>
    </row>
    <row r="51" spans="1:17" x14ac:dyDescent="0.2">
      <c r="A51" s="41"/>
      <c r="B51" s="41"/>
      <c r="C51" s="41"/>
      <c r="D51" s="41"/>
      <c r="E51" s="41"/>
      <c r="F51" s="41"/>
      <c r="G51" s="41"/>
      <c r="H51" s="41"/>
      <c r="I51" s="41"/>
      <c r="J51" s="41"/>
      <c r="K51" s="41"/>
      <c r="L51" s="41"/>
      <c r="M51" s="41"/>
      <c r="N51" s="41"/>
      <c r="O51" s="41"/>
      <c r="P51" s="41"/>
      <c r="Q51" s="41"/>
    </row>
    <row r="52" spans="1:17" x14ac:dyDescent="0.2">
      <c r="A52" s="41"/>
      <c r="B52" s="41"/>
      <c r="C52" s="41"/>
      <c r="D52" s="41"/>
      <c r="E52" s="41"/>
      <c r="F52" s="41"/>
      <c r="G52" s="41"/>
      <c r="H52" s="41"/>
      <c r="I52" s="41"/>
      <c r="J52" s="41"/>
      <c r="K52" s="41"/>
      <c r="L52" s="41"/>
      <c r="M52" s="41"/>
      <c r="N52" s="41"/>
      <c r="O52" s="41"/>
      <c r="P52" s="41"/>
      <c r="Q52" s="41"/>
    </row>
    <row r="53" spans="1:17" x14ac:dyDescent="0.2">
      <c r="A53" s="41"/>
      <c r="B53" s="41"/>
      <c r="C53" s="41"/>
      <c r="D53" s="41"/>
      <c r="E53" s="41"/>
      <c r="F53" s="41"/>
      <c r="G53" s="41"/>
      <c r="H53" s="41"/>
      <c r="I53" s="41"/>
      <c r="J53" s="41"/>
      <c r="K53" s="41"/>
      <c r="L53" s="41"/>
      <c r="M53" s="41"/>
      <c r="N53" s="41"/>
      <c r="O53" s="41"/>
      <c r="P53" s="41"/>
      <c r="Q53" s="41"/>
    </row>
    <row r="54" spans="1:17" x14ac:dyDescent="0.2">
      <c r="A54" s="41"/>
      <c r="B54" s="41"/>
      <c r="C54" s="41"/>
      <c r="D54" s="41"/>
      <c r="E54" s="41"/>
      <c r="F54" s="41"/>
      <c r="G54" s="41"/>
      <c r="H54" s="41"/>
      <c r="I54" s="41"/>
      <c r="J54" s="41"/>
      <c r="K54" s="41"/>
      <c r="L54" s="41"/>
      <c r="M54" s="41"/>
      <c r="N54" s="41"/>
      <c r="O54" s="41"/>
      <c r="P54" s="41"/>
      <c r="Q54" s="41"/>
    </row>
    <row r="55" spans="1:17" x14ac:dyDescent="0.2">
      <c r="A55" s="41"/>
      <c r="B55" s="41"/>
      <c r="C55" s="41"/>
      <c r="D55" s="41"/>
      <c r="E55" s="41"/>
      <c r="F55" s="41"/>
      <c r="G55" s="41"/>
      <c r="H55" s="41"/>
      <c r="I55" s="41"/>
      <c r="J55" s="41"/>
      <c r="K55" s="41"/>
      <c r="L55" s="41"/>
      <c r="M55" s="41"/>
      <c r="N55" s="41"/>
      <c r="O55" s="41"/>
      <c r="P55" s="41"/>
      <c r="Q55" s="41"/>
    </row>
    <row r="56" spans="1:17" x14ac:dyDescent="0.2">
      <c r="A56" s="41"/>
      <c r="B56" s="41"/>
      <c r="C56" s="41"/>
      <c r="D56" s="41"/>
      <c r="E56" s="41"/>
      <c r="F56" s="41"/>
      <c r="G56" s="41"/>
      <c r="H56" s="41"/>
      <c r="I56" s="41"/>
      <c r="J56" s="41"/>
      <c r="K56" s="41"/>
      <c r="L56" s="41"/>
      <c r="M56" s="41"/>
      <c r="N56" s="41"/>
      <c r="O56" s="41"/>
      <c r="P56" s="41"/>
      <c r="Q56" s="41"/>
    </row>
    <row r="57" spans="1:17" x14ac:dyDescent="0.2">
      <c r="A57" s="41"/>
      <c r="B57" s="41"/>
      <c r="C57" s="41"/>
      <c r="D57" s="41"/>
      <c r="E57" s="41"/>
      <c r="F57" s="41"/>
      <c r="G57" s="41"/>
      <c r="H57" s="41"/>
      <c r="I57" s="41"/>
      <c r="J57" s="41"/>
      <c r="K57" s="41"/>
      <c r="L57" s="41"/>
      <c r="M57" s="41"/>
      <c r="N57" s="41"/>
      <c r="O57" s="41"/>
      <c r="P57" s="41"/>
      <c r="Q57" s="41"/>
    </row>
    <row r="58" spans="1:17" x14ac:dyDescent="0.2">
      <c r="A58" s="41"/>
      <c r="B58" s="41"/>
      <c r="C58" s="41"/>
      <c r="D58" s="41"/>
      <c r="E58" s="41"/>
      <c r="F58" s="41"/>
      <c r="G58" s="41"/>
      <c r="H58" s="41"/>
      <c r="I58" s="41"/>
      <c r="J58" s="41"/>
      <c r="K58" s="41"/>
      <c r="L58" s="41"/>
      <c r="M58" s="41"/>
      <c r="N58" s="41"/>
      <c r="O58" s="41"/>
      <c r="P58" s="41"/>
      <c r="Q58" s="41"/>
    </row>
    <row r="59" spans="1:17" x14ac:dyDescent="0.2">
      <c r="A59" s="41"/>
      <c r="B59" s="41"/>
      <c r="C59" s="41"/>
      <c r="D59" s="41"/>
      <c r="E59" s="41"/>
      <c r="F59" s="41"/>
      <c r="G59" s="41"/>
      <c r="H59" s="41"/>
      <c r="I59" s="41"/>
      <c r="J59" s="41"/>
      <c r="K59" s="41"/>
      <c r="L59" s="41"/>
      <c r="M59" s="41"/>
      <c r="N59" s="41"/>
      <c r="O59" s="41"/>
      <c r="P59" s="41"/>
      <c r="Q59" s="41"/>
    </row>
    <row r="60" spans="1:17" x14ac:dyDescent="0.2">
      <c r="A60" s="41"/>
      <c r="B60" s="41"/>
      <c r="C60" s="41"/>
      <c r="D60" s="41"/>
      <c r="E60" s="41"/>
      <c r="F60" s="41"/>
      <c r="G60" s="41"/>
      <c r="H60" s="41"/>
      <c r="I60" s="41"/>
      <c r="J60" s="41"/>
      <c r="K60" s="41"/>
      <c r="L60" s="41"/>
      <c r="M60" s="41"/>
      <c r="N60" s="41"/>
      <c r="O60" s="41"/>
      <c r="P60" s="41"/>
      <c r="Q60" s="41"/>
    </row>
    <row r="61" spans="1:17" x14ac:dyDescent="0.2">
      <c r="A61" s="41"/>
      <c r="B61" s="41"/>
      <c r="C61" s="41"/>
      <c r="D61" s="41"/>
      <c r="E61" s="41"/>
      <c r="F61" s="41"/>
      <c r="G61" s="41"/>
      <c r="H61" s="41"/>
      <c r="I61" s="41"/>
      <c r="J61" s="41"/>
      <c r="K61" s="41"/>
      <c r="L61" s="41"/>
      <c r="M61" s="41"/>
      <c r="N61" s="41"/>
      <c r="O61" s="41"/>
      <c r="P61" s="41"/>
      <c r="Q61" s="41"/>
    </row>
    <row r="62" spans="1:17" x14ac:dyDescent="0.2">
      <c r="A62" s="41"/>
      <c r="B62" s="41"/>
      <c r="C62" s="41"/>
      <c r="D62" s="41"/>
      <c r="E62" s="41"/>
      <c r="F62" s="41"/>
      <c r="G62" s="41"/>
      <c r="H62" s="41"/>
      <c r="I62" s="41"/>
      <c r="J62" s="41"/>
      <c r="K62" s="41"/>
      <c r="L62" s="41"/>
      <c r="M62" s="41"/>
      <c r="N62" s="41"/>
      <c r="O62" s="41"/>
      <c r="P62" s="41"/>
      <c r="Q62" s="41"/>
    </row>
    <row r="63" spans="1:17" x14ac:dyDescent="0.2">
      <c r="A63" s="41"/>
      <c r="B63" s="41"/>
      <c r="C63" s="41"/>
      <c r="D63" s="41"/>
      <c r="E63" s="41"/>
      <c r="F63" s="41"/>
      <c r="G63" s="41"/>
      <c r="H63" s="41"/>
      <c r="I63" s="41"/>
      <c r="J63" s="41"/>
      <c r="K63" s="41"/>
      <c r="L63" s="41"/>
      <c r="M63" s="41"/>
      <c r="N63" s="41"/>
      <c r="O63" s="41"/>
      <c r="P63" s="41"/>
      <c r="Q63" s="41"/>
    </row>
    <row r="64" spans="1:17" x14ac:dyDescent="0.2">
      <c r="A64" s="41"/>
      <c r="B64" s="41"/>
      <c r="C64" s="41"/>
      <c r="D64" s="41"/>
      <c r="E64" s="41"/>
      <c r="F64" s="41"/>
      <c r="G64" s="41"/>
      <c r="H64" s="41"/>
      <c r="I64" s="41"/>
      <c r="J64" s="41"/>
      <c r="K64" s="41"/>
      <c r="L64" s="41"/>
      <c r="M64" s="41"/>
      <c r="N64" s="41"/>
      <c r="O64" s="41"/>
      <c r="P64" s="41"/>
      <c r="Q64" s="41"/>
    </row>
    <row r="65" spans="1:17" x14ac:dyDescent="0.2">
      <c r="A65" s="41"/>
      <c r="B65" s="41"/>
      <c r="C65" s="41"/>
      <c r="D65" s="41"/>
      <c r="E65" s="41"/>
      <c r="F65" s="41"/>
      <c r="G65" s="41"/>
      <c r="H65" s="41"/>
      <c r="I65" s="41"/>
      <c r="J65" s="41"/>
      <c r="K65" s="41"/>
      <c r="L65" s="41"/>
      <c r="M65" s="41"/>
      <c r="N65" s="41"/>
      <c r="O65" s="41"/>
      <c r="P65" s="41"/>
      <c r="Q65" s="41"/>
    </row>
    <row r="66" spans="1:17" x14ac:dyDescent="0.2">
      <c r="A66" s="41"/>
      <c r="B66" s="41"/>
      <c r="C66" s="41"/>
      <c r="D66" s="41"/>
      <c r="E66" s="41"/>
      <c r="F66" s="41"/>
      <c r="G66" s="41"/>
      <c r="H66" s="41"/>
      <c r="I66" s="41"/>
      <c r="J66" s="41"/>
      <c r="K66" s="41"/>
      <c r="L66" s="41"/>
      <c r="M66" s="41"/>
      <c r="N66" s="41"/>
      <c r="O66" s="41"/>
      <c r="P66" s="41"/>
      <c r="Q66" s="41"/>
    </row>
    <row r="67" spans="1:17" x14ac:dyDescent="0.2">
      <c r="A67" s="41"/>
      <c r="B67" s="41"/>
      <c r="C67" s="41"/>
      <c r="D67" s="41"/>
      <c r="E67" s="41"/>
      <c r="F67" s="41"/>
      <c r="G67" s="41"/>
      <c r="H67" s="41"/>
      <c r="I67" s="41"/>
      <c r="J67" s="41"/>
      <c r="K67" s="41"/>
      <c r="L67" s="41"/>
      <c r="M67" s="41"/>
      <c r="N67" s="41"/>
      <c r="O67" s="41"/>
      <c r="P67" s="41"/>
      <c r="Q67" s="41"/>
    </row>
    <row r="68" spans="1:17" x14ac:dyDescent="0.2">
      <c r="A68" s="41"/>
      <c r="B68" s="41"/>
      <c r="C68" s="41"/>
      <c r="D68" s="41"/>
      <c r="E68" s="41"/>
      <c r="F68" s="41"/>
      <c r="G68" s="41"/>
      <c r="H68" s="41"/>
      <c r="I68" s="41"/>
      <c r="J68" s="41"/>
      <c r="K68" s="41"/>
      <c r="L68" s="41"/>
      <c r="M68" s="41"/>
      <c r="N68" s="41"/>
      <c r="O68" s="41"/>
      <c r="P68" s="41"/>
      <c r="Q68" s="41"/>
    </row>
    <row r="69" spans="1:17" x14ac:dyDescent="0.2">
      <c r="A69" s="41"/>
      <c r="B69" s="41"/>
      <c r="C69" s="41"/>
      <c r="D69" s="41"/>
      <c r="E69" s="41"/>
      <c r="F69" s="41"/>
      <c r="G69" s="41"/>
      <c r="H69" s="41"/>
      <c r="I69" s="41"/>
      <c r="J69" s="41"/>
      <c r="K69" s="41"/>
      <c r="L69" s="41"/>
      <c r="M69" s="41"/>
      <c r="N69" s="41"/>
      <c r="O69" s="41"/>
      <c r="P69" s="41"/>
      <c r="Q69" s="41"/>
    </row>
    <row r="70" spans="1:17" x14ac:dyDescent="0.2">
      <c r="A70" s="41"/>
      <c r="B70" s="41"/>
      <c r="C70" s="41"/>
      <c r="D70" s="41"/>
      <c r="E70" s="41"/>
      <c r="F70" s="41"/>
      <c r="G70" s="41"/>
      <c r="H70" s="41"/>
      <c r="I70" s="41"/>
      <c r="J70" s="41"/>
      <c r="K70" s="41"/>
      <c r="L70" s="41"/>
      <c r="M70" s="41"/>
      <c r="N70" s="41"/>
      <c r="O70" s="41"/>
      <c r="P70" s="41"/>
      <c r="Q70" s="41"/>
    </row>
    <row r="71" spans="1:17" x14ac:dyDescent="0.2">
      <c r="A71" s="41"/>
      <c r="B71" s="41"/>
      <c r="C71" s="41"/>
      <c r="D71" s="41"/>
      <c r="E71" s="41"/>
      <c r="F71" s="41"/>
      <c r="G71" s="41"/>
      <c r="H71" s="41"/>
      <c r="I71" s="41"/>
      <c r="J71" s="41"/>
      <c r="K71" s="41"/>
      <c r="L71" s="41"/>
      <c r="M71" s="41"/>
      <c r="N71" s="41"/>
      <c r="O71" s="41"/>
      <c r="P71" s="41"/>
      <c r="Q71" s="41"/>
    </row>
    <row r="72" spans="1:17" x14ac:dyDescent="0.2">
      <c r="A72" s="41"/>
      <c r="B72" s="41"/>
      <c r="C72" s="41"/>
      <c r="D72" s="41"/>
      <c r="E72" s="41"/>
      <c r="F72" s="41"/>
      <c r="G72" s="41"/>
      <c r="H72" s="41"/>
      <c r="I72" s="41"/>
      <c r="J72" s="41"/>
      <c r="K72" s="41"/>
      <c r="L72" s="41"/>
      <c r="M72" s="41"/>
      <c r="N72" s="41"/>
      <c r="O72" s="41"/>
      <c r="P72" s="41"/>
      <c r="Q72" s="41"/>
    </row>
    <row r="73" spans="1:17" x14ac:dyDescent="0.2">
      <c r="A73" s="41"/>
      <c r="B73" s="41"/>
      <c r="C73" s="41"/>
      <c r="D73" s="41"/>
      <c r="E73" s="41"/>
      <c r="F73" s="41"/>
      <c r="G73" s="41"/>
      <c r="H73" s="41"/>
      <c r="I73" s="41"/>
      <c r="J73" s="41"/>
      <c r="K73" s="41"/>
      <c r="L73" s="41"/>
      <c r="M73" s="41"/>
      <c r="N73" s="41"/>
      <c r="O73" s="41"/>
      <c r="P73" s="41"/>
      <c r="Q73" s="41"/>
    </row>
    <row r="74" spans="1:17" x14ac:dyDescent="0.2">
      <c r="A74" s="41"/>
      <c r="B74" s="41"/>
      <c r="C74" s="41"/>
      <c r="D74" s="41"/>
      <c r="E74" s="41"/>
      <c r="F74" s="41"/>
      <c r="G74" s="41"/>
      <c r="H74" s="41"/>
      <c r="I74" s="41"/>
      <c r="J74" s="41"/>
      <c r="K74" s="41"/>
      <c r="L74" s="41"/>
      <c r="M74" s="41"/>
      <c r="N74" s="41"/>
      <c r="O74" s="41"/>
      <c r="P74" s="41"/>
      <c r="Q74" s="41"/>
    </row>
    <row r="75" spans="1:17" x14ac:dyDescent="0.2">
      <c r="A75" s="41"/>
      <c r="B75" s="41"/>
      <c r="C75" s="41"/>
      <c r="D75" s="41"/>
      <c r="E75" s="41"/>
      <c r="F75" s="41"/>
      <c r="G75" s="41"/>
      <c r="H75" s="41"/>
      <c r="I75" s="41"/>
      <c r="J75" s="41"/>
      <c r="K75" s="41"/>
      <c r="L75" s="41"/>
      <c r="M75" s="41"/>
      <c r="N75" s="41"/>
      <c r="O75" s="41"/>
      <c r="P75" s="41"/>
      <c r="Q75" s="41"/>
    </row>
    <row r="76" spans="1:17" x14ac:dyDescent="0.2">
      <c r="A76" s="41"/>
      <c r="B76" s="41"/>
      <c r="C76" s="41"/>
      <c r="D76" s="41"/>
      <c r="E76" s="41"/>
      <c r="F76" s="41"/>
      <c r="G76" s="41"/>
      <c r="H76" s="41"/>
      <c r="I76" s="41"/>
      <c r="J76" s="41"/>
      <c r="K76" s="41"/>
      <c r="L76" s="41"/>
      <c r="M76" s="41"/>
      <c r="N76" s="41"/>
      <c r="O76" s="41"/>
      <c r="P76" s="41"/>
      <c r="Q76" s="41"/>
    </row>
    <row r="77" spans="1:17" x14ac:dyDescent="0.2">
      <c r="A77" s="41"/>
      <c r="B77" s="41"/>
      <c r="C77" s="41"/>
      <c r="D77" s="41"/>
      <c r="E77" s="41"/>
      <c r="F77" s="41"/>
      <c r="G77" s="41"/>
      <c r="H77" s="41"/>
      <c r="I77" s="41"/>
      <c r="J77" s="41"/>
      <c r="K77" s="41"/>
      <c r="L77" s="41"/>
      <c r="M77" s="41"/>
      <c r="N77" s="41"/>
      <c r="O77" s="41"/>
      <c r="P77" s="41"/>
      <c r="Q77" s="41"/>
    </row>
    <row r="78" spans="1:17" x14ac:dyDescent="0.2">
      <c r="A78" s="41"/>
      <c r="B78" s="41"/>
      <c r="C78" s="41"/>
      <c r="D78" s="41"/>
      <c r="E78" s="41"/>
      <c r="F78" s="41"/>
      <c r="G78" s="41"/>
      <c r="H78" s="41"/>
      <c r="I78" s="41"/>
      <c r="J78" s="41"/>
      <c r="K78" s="41"/>
      <c r="L78" s="41"/>
      <c r="M78" s="41"/>
      <c r="N78" s="41"/>
      <c r="O78" s="41"/>
      <c r="P78" s="41"/>
      <c r="Q78" s="41"/>
    </row>
    <row r="79" spans="1:17" x14ac:dyDescent="0.2">
      <c r="A79" s="41"/>
      <c r="B79" s="41"/>
      <c r="C79" s="41"/>
      <c r="D79" s="41"/>
      <c r="E79" s="41"/>
      <c r="F79" s="41"/>
      <c r="G79" s="41"/>
      <c r="H79" s="41"/>
      <c r="I79" s="41"/>
      <c r="J79" s="41"/>
      <c r="K79" s="41"/>
      <c r="L79" s="41"/>
      <c r="M79" s="41"/>
      <c r="N79" s="41"/>
      <c r="O79" s="41"/>
      <c r="P79" s="41"/>
      <c r="Q79" s="41"/>
    </row>
    <row r="80" spans="1:17" x14ac:dyDescent="0.2">
      <c r="A80" s="41"/>
      <c r="B80" s="41"/>
      <c r="C80" s="41"/>
      <c r="D80" s="41"/>
      <c r="E80" s="41"/>
      <c r="F80" s="41"/>
      <c r="G80" s="41"/>
      <c r="H80" s="41"/>
      <c r="I80" s="41"/>
      <c r="J80" s="41"/>
      <c r="K80" s="41"/>
      <c r="L80" s="41"/>
      <c r="M80" s="41"/>
      <c r="N80" s="41"/>
      <c r="O80" s="41"/>
      <c r="P80" s="41"/>
      <c r="Q80" s="41"/>
    </row>
    <row r="81" spans="1:17" x14ac:dyDescent="0.2">
      <c r="A81" s="41"/>
      <c r="B81" s="41"/>
      <c r="C81" s="41"/>
      <c r="D81" s="41"/>
      <c r="E81" s="41"/>
      <c r="F81" s="41"/>
      <c r="G81" s="41"/>
      <c r="H81" s="41"/>
      <c r="I81" s="41"/>
      <c r="J81" s="41"/>
      <c r="K81" s="41"/>
      <c r="L81" s="41"/>
      <c r="M81" s="41"/>
      <c r="N81" s="41"/>
      <c r="O81" s="41"/>
      <c r="P81" s="41"/>
      <c r="Q81" s="41"/>
    </row>
    <row r="82" spans="1:17" x14ac:dyDescent="0.2">
      <c r="A82" s="41"/>
      <c r="B82" s="41"/>
      <c r="C82" s="41"/>
      <c r="D82" s="41"/>
      <c r="E82" s="41"/>
      <c r="F82" s="41"/>
      <c r="G82" s="41"/>
      <c r="H82" s="41"/>
      <c r="I82" s="41"/>
      <c r="J82" s="41"/>
      <c r="K82" s="41"/>
      <c r="L82" s="41"/>
      <c r="M82" s="41"/>
      <c r="N82" s="41"/>
      <c r="O82" s="41"/>
      <c r="P82" s="41"/>
      <c r="Q82" s="41"/>
    </row>
    <row r="83" spans="1:17" x14ac:dyDescent="0.2">
      <c r="A83" s="41"/>
      <c r="B83" s="41"/>
      <c r="C83" s="41"/>
      <c r="D83" s="41"/>
      <c r="E83" s="41"/>
      <c r="F83" s="41"/>
      <c r="G83" s="41"/>
      <c r="H83" s="41"/>
      <c r="I83" s="41"/>
      <c r="J83" s="41"/>
      <c r="K83" s="41"/>
      <c r="L83" s="41"/>
      <c r="M83" s="41"/>
      <c r="N83" s="41"/>
      <c r="O83" s="41"/>
      <c r="P83" s="41"/>
      <c r="Q83" s="41"/>
    </row>
    <row r="84" spans="1:17" x14ac:dyDescent="0.2">
      <c r="A84" s="41"/>
      <c r="B84" s="41"/>
      <c r="C84" s="41"/>
      <c r="D84" s="41"/>
      <c r="E84" s="41"/>
      <c r="F84" s="41"/>
      <c r="G84" s="41"/>
      <c r="H84" s="41"/>
      <c r="I84" s="41"/>
      <c r="J84" s="41"/>
      <c r="K84" s="41"/>
      <c r="L84" s="41"/>
      <c r="M84" s="41"/>
      <c r="N84" s="41"/>
      <c r="O84" s="41"/>
      <c r="P84" s="41"/>
      <c r="Q84" s="41"/>
    </row>
    <row r="85" spans="1:17" x14ac:dyDescent="0.2">
      <c r="A85" s="41"/>
      <c r="B85" s="41"/>
      <c r="C85" s="41"/>
      <c r="D85" s="41"/>
      <c r="E85" s="41"/>
      <c r="F85" s="41"/>
      <c r="G85" s="41"/>
      <c r="H85" s="41"/>
      <c r="I85" s="41"/>
      <c r="J85" s="41"/>
      <c r="K85" s="41"/>
      <c r="L85" s="41"/>
      <c r="M85" s="41"/>
      <c r="N85" s="41"/>
      <c r="O85" s="41"/>
      <c r="P85" s="41"/>
      <c r="Q85" s="41"/>
    </row>
    <row r="86" spans="1:17" x14ac:dyDescent="0.2">
      <c r="A86" s="41"/>
      <c r="B86" s="41"/>
      <c r="C86" s="41"/>
      <c r="D86" s="41"/>
      <c r="E86" s="41"/>
      <c r="F86" s="41"/>
      <c r="G86" s="41"/>
      <c r="H86" s="41"/>
      <c r="I86" s="41"/>
      <c r="J86" s="41"/>
      <c r="K86" s="41"/>
      <c r="L86" s="41"/>
      <c r="M86" s="41"/>
      <c r="N86" s="41"/>
      <c r="O86" s="41"/>
      <c r="P86" s="41"/>
      <c r="Q86" s="41"/>
    </row>
    <row r="87" spans="1:17" x14ac:dyDescent="0.2">
      <c r="A87" s="41"/>
      <c r="B87" s="41"/>
      <c r="C87" s="41"/>
      <c r="D87" s="41"/>
      <c r="E87" s="41"/>
      <c r="F87" s="41"/>
      <c r="G87" s="41"/>
      <c r="H87" s="41"/>
      <c r="I87" s="41"/>
      <c r="J87" s="41"/>
      <c r="K87" s="41"/>
      <c r="L87" s="41"/>
      <c r="M87" s="41"/>
      <c r="N87" s="41"/>
      <c r="O87" s="41"/>
      <c r="P87" s="41"/>
      <c r="Q87" s="41"/>
    </row>
    <row r="88" spans="1:17" x14ac:dyDescent="0.2">
      <c r="A88" s="41"/>
      <c r="B88" s="41"/>
      <c r="C88" s="41"/>
      <c r="D88" s="41"/>
      <c r="E88" s="41"/>
      <c r="F88" s="41"/>
      <c r="G88" s="41"/>
      <c r="H88" s="41"/>
      <c r="I88" s="41"/>
      <c r="J88" s="41"/>
      <c r="K88" s="41"/>
      <c r="L88" s="41"/>
      <c r="M88" s="41"/>
      <c r="N88" s="41"/>
      <c r="O88" s="41"/>
      <c r="P88" s="41"/>
      <c r="Q88" s="41"/>
    </row>
    <row r="89" spans="1:17" x14ac:dyDescent="0.2">
      <c r="A89" s="41"/>
      <c r="B89" s="41"/>
      <c r="C89" s="41"/>
      <c r="D89" s="41"/>
      <c r="E89" s="41"/>
      <c r="F89" s="41"/>
      <c r="G89" s="41"/>
      <c r="H89" s="41"/>
      <c r="I89" s="41"/>
      <c r="J89" s="41"/>
      <c r="K89" s="41"/>
      <c r="L89" s="41"/>
      <c r="M89" s="41"/>
      <c r="N89" s="41"/>
      <c r="O89" s="41"/>
      <c r="P89" s="41"/>
      <c r="Q89" s="41"/>
    </row>
    <row r="90" spans="1:17" x14ac:dyDescent="0.2">
      <c r="A90" s="41"/>
      <c r="B90" s="41"/>
      <c r="C90" s="41"/>
      <c r="D90" s="41"/>
      <c r="E90" s="41"/>
      <c r="F90" s="41"/>
      <c r="G90" s="41"/>
      <c r="H90" s="41"/>
      <c r="I90" s="41"/>
      <c r="J90" s="41"/>
      <c r="K90" s="41"/>
      <c r="L90" s="41"/>
      <c r="M90" s="41"/>
      <c r="N90" s="41"/>
      <c r="O90" s="41"/>
      <c r="P90" s="41"/>
      <c r="Q90" s="41"/>
    </row>
    <row r="91" spans="1:17" x14ac:dyDescent="0.2">
      <c r="A91" s="41"/>
      <c r="B91" s="41"/>
      <c r="C91" s="41"/>
      <c r="D91" s="41"/>
      <c r="E91" s="41"/>
      <c r="F91" s="41"/>
      <c r="G91" s="41"/>
      <c r="H91" s="41"/>
      <c r="I91" s="41"/>
      <c r="J91" s="41"/>
      <c r="K91" s="41"/>
      <c r="L91" s="41"/>
      <c r="M91" s="41"/>
      <c r="N91" s="41"/>
      <c r="O91" s="41"/>
      <c r="P91" s="41"/>
      <c r="Q91" s="41"/>
    </row>
    <row r="92" spans="1:17" x14ac:dyDescent="0.2">
      <c r="A92" s="41"/>
      <c r="B92" s="41"/>
      <c r="C92" s="41"/>
      <c r="D92" s="41"/>
      <c r="E92" s="41"/>
      <c r="F92" s="41"/>
      <c r="G92" s="41"/>
      <c r="H92" s="41"/>
      <c r="I92" s="41"/>
      <c r="J92" s="41"/>
      <c r="K92" s="41"/>
      <c r="L92" s="41"/>
      <c r="M92" s="41"/>
      <c r="N92" s="41"/>
      <c r="O92" s="41"/>
      <c r="P92" s="41"/>
      <c r="Q92" s="41"/>
    </row>
    <row r="93" spans="1:17" x14ac:dyDescent="0.2">
      <c r="A93" s="41"/>
      <c r="B93" s="41"/>
      <c r="C93" s="41"/>
      <c r="D93" s="41"/>
      <c r="E93" s="41"/>
      <c r="F93" s="41"/>
      <c r="G93" s="41"/>
      <c r="H93" s="41"/>
      <c r="I93" s="41"/>
      <c r="J93" s="41"/>
      <c r="K93" s="41"/>
      <c r="L93" s="41"/>
      <c r="M93" s="41"/>
      <c r="N93" s="41"/>
      <c r="O93" s="41"/>
      <c r="P93" s="41"/>
      <c r="Q93" s="41"/>
    </row>
    <row r="94" spans="1:17" x14ac:dyDescent="0.2">
      <c r="A94" s="41"/>
      <c r="B94" s="41"/>
      <c r="C94" s="41"/>
      <c r="D94" s="41"/>
      <c r="E94" s="41"/>
      <c r="F94" s="41"/>
      <c r="G94" s="41"/>
      <c r="H94" s="41"/>
      <c r="I94" s="41"/>
      <c r="J94" s="41"/>
      <c r="K94" s="41"/>
      <c r="L94" s="41"/>
      <c r="M94" s="41"/>
      <c r="N94" s="41"/>
      <c r="O94" s="41"/>
      <c r="P94" s="41"/>
      <c r="Q94" s="41"/>
    </row>
    <row r="95" spans="1:17" x14ac:dyDescent="0.2">
      <c r="A95" s="41"/>
      <c r="B95" s="41"/>
      <c r="C95" s="41"/>
      <c r="D95" s="41"/>
      <c r="E95" s="41"/>
      <c r="F95" s="41"/>
      <c r="G95" s="41"/>
      <c r="H95" s="41"/>
      <c r="I95" s="41"/>
      <c r="J95" s="41"/>
      <c r="K95" s="41"/>
      <c r="L95" s="41"/>
      <c r="M95" s="41"/>
      <c r="N95" s="41"/>
      <c r="O95" s="41"/>
      <c r="P95" s="41"/>
      <c r="Q95" s="41"/>
    </row>
    <row r="96" spans="1:17" x14ac:dyDescent="0.2">
      <c r="A96" s="41"/>
      <c r="B96" s="41"/>
      <c r="C96" s="41"/>
      <c r="D96" s="41"/>
      <c r="E96" s="41"/>
      <c r="F96" s="41"/>
      <c r="G96" s="41"/>
      <c r="H96" s="41"/>
      <c r="I96" s="41"/>
      <c r="J96" s="41"/>
      <c r="K96" s="41"/>
      <c r="L96" s="41"/>
      <c r="M96" s="41"/>
      <c r="N96" s="41"/>
      <c r="O96" s="41"/>
      <c r="P96" s="41"/>
      <c r="Q96" s="41"/>
    </row>
    <row r="97" spans="1:17" x14ac:dyDescent="0.2">
      <c r="A97" s="41"/>
      <c r="B97" s="41"/>
      <c r="C97" s="41"/>
      <c r="D97" s="41"/>
      <c r="E97" s="41"/>
      <c r="F97" s="41"/>
      <c r="G97" s="41"/>
      <c r="H97" s="41"/>
      <c r="I97" s="41"/>
      <c r="J97" s="41"/>
      <c r="K97" s="41"/>
      <c r="L97" s="41"/>
      <c r="M97" s="41"/>
      <c r="N97" s="41"/>
      <c r="O97" s="41"/>
      <c r="P97" s="41"/>
      <c r="Q97" s="41"/>
    </row>
    <row r="98" spans="1:17" x14ac:dyDescent="0.2">
      <c r="A98" s="41"/>
      <c r="B98" s="41"/>
      <c r="C98" s="41"/>
      <c r="D98" s="41"/>
      <c r="E98" s="41"/>
      <c r="F98" s="41"/>
      <c r="G98" s="41"/>
      <c r="H98" s="41"/>
      <c r="I98" s="41"/>
      <c r="J98" s="41"/>
      <c r="K98" s="41"/>
      <c r="L98" s="41"/>
      <c r="M98" s="41"/>
      <c r="N98" s="41"/>
      <c r="O98" s="41"/>
      <c r="P98" s="41"/>
      <c r="Q98" s="41"/>
    </row>
    <row r="99" spans="1:17" x14ac:dyDescent="0.2">
      <c r="A99" s="41"/>
      <c r="B99" s="41"/>
      <c r="C99" s="41"/>
      <c r="D99" s="41"/>
      <c r="E99" s="41"/>
      <c r="F99" s="41"/>
      <c r="G99" s="41"/>
      <c r="H99" s="41"/>
      <c r="I99" s="41"/>
      <c r="J99" s="41"/>
      <c r="K99" s="41"/>
      <c r="L99" s="41"/>
      <c r="M99" s="41"/>
      <c r="N99" s="41"/>
      <c r="O99" s="41"/>
      <c r="P99" s="41"/>
      <c r="Q99" s="41"/>
    </row>
    <row r="100" spans="1:17" x14ac:dyDescent="0.2">
      <c r="A100" s="41"/>
      <c r="B100" s="41"/>
      <c r="C100" s="41"/>
      <c r="D100" s="41"/>
      <c r="E100" s="41"/>
      <c r="F100" s="41"/>
      <c r="G100" s="41"/>
      <c r="H100" s="41"/>
      <c r="I100" s="41"/>
      <c r="J100" s="41"/>
      <c r="K100" s="41"/>
      <c r="L100" s="41"/>
      <c r="M100" s="41"/>
      <c r="N100" s="41"/>
      <c r="O100" s="41"/>
      <c r="P100" s="41"/>
      <c r="Q100" s="41"/>
    </row>
  </sheetData>
  <sheetProtection selectLockedCells="1"/>
  <mergeCells count="14">
    <mergeCell ref="B1:G1"/>
    <mergeCell ref="B4:G4"/>
    <mergeCell ref="B6:G6"/>
    <mergeCell ref="B30:G30"/>
    <mergeCell ref="D10:G10"/>
    <mergeCell ref="D12:G12"/>
    <mergeCell ref="D14:G14"/>
    <mergeCell ref="D16:G16"/>
    <mergeCell ref="B23:G23"/>
    <mergeCell ref="B25:G25"/>
    <mergeCell ref="B28:G28"/>
    <mergeCell ref="B20:G20"/>
    <mergeCell ref="B8:G8"/>
    <mergeCell ref="B18:G18"/>
  </mergeCells>
  <phoneticPr fontId="0" type="noConversion"/>
  <pageMargins left="0.7" right="0.7" top="0.75" bottom="0.75" header="0.3" footer="0.3"/>
  <pageSetup paperSize="9"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25601" r:id="rId3" name="Liste1">
              <controlPr defaultSize="0" print="0" autoLine="0" autoPict="0">
                <anchor moveWithCells="1">
                  <from>
                    <xdr:col>4</xdr:col>
                    <xdr:colOff>2276475</xdr:colOff>
                    <xdr:row>1</xdr:row>
                    <xdr:rowOff>0</xdr:rowOff>
                  </from>
                  <to>
                    <xdr:col>5</xdr:col>
                    <xdr:colOff>1476375</xdr:colOff>
                    <xdr:row>2</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enableFormatConditionsCalculation="0">
    <tabColor indexed="10"/>
    <pageSetUpPr autoPageBreaks="0"/>
  </sheetPr>
  <dimension ref="A1:AX302"/>
  <sheetViews>
    <sheetView showGridLines="0" showRowColHeaders="0" showOutlineSymbols="0" zoomScaleNormal="100" zoomScalePageLayoutView="125" workbookViewId="0">
      <selection activeCell="H9" sqref="H9:I9"/>
    </sheetView>
  </sheetViews>
  <sheetFormatPr baseColWidth="10" defaultColWidth="0" defaultRowHeight="12.75" zeroHeight="1" x14ac:dyDescent="0.2"/>
  <cols>
    <col min="1" max="1" width="1.85546875" style="17" customWidth="1"/>
    <col min="2" max="2" width="20.7109375" style="17" customWidth="1"/>
    <col min="3" max="3" width="15.7109375" style="17" customWidth="1"/>
    <col min="4" max="4" width="28" style="17" customWidth="1"/>
    <col min="5" max="5" width="7.7109375" style="17" customWidth="1"/>
    <col min="6" max="6" width="11.42578125" style="17" customWidth="1"/>
    <col min="7" max="7" width="6.140625" style="17" customWidth="1"/>
    <col min="8" max="8" width="11.42578125" style="17" customWidth="1"/>
    <col min="9" max="9" width="12.140625" style="17" customWidth="1"/>
    <col min="10" max="10" width="8.42578125" style="17" customWidth="1"/>
    <col min="11" max="24" width="11.42578125" style="17" customWidth="1"/>
    <col min="25" max="16384" width="0" style="17" hidden="1"/>
  </cols>
  <sheetData>
    <row r="1" spans="1:50" ht="27.95" customHeight="1" x14ac:dyDescent="0.2">
      <c r="A1" s="419"/>
      <c r="B1" s="437" t="str">
        <f>'C-L'!CX1</f>
        <v>book 26-1</v>
      </c>
      <c r="C1" s="437"/>
      <c r="D1" s="437"/>
      <c r="E1" s="437"/>
      <c r="F1" s="437"/>
      <c r="G1" s="437"/>
      <c r="H1" s="437"/>
      <c r="I1" s="437"/>
      <c r="J1" s="437"/>
      <c r="K1" s="437"/>
      <c r="L1" s="437"/>
      <c r="M1" s="437"/>
      <c r="N1" s="437"/>
      <c r="O1" s="416"/>
      <c r="P1" s="416"/>
      <c r="Q1" s="416"/>
      <c r="R1" s="416"/>
      <c r="S1" s="416"/>
      <c r="T1" s="416"/>
      <c r="U1" s="416"/>
      <c r="V1" s="416"/>
      <c r="W1" s="416"/>
      <c r="X1" s="416"/>
    </row>
    <row r="2" spans="1:50" s="30" customFormat="1" ht="27.95" customHeight="1" x14ac:dyDescent="0.2">
      <c r="A2" s="46"/>
      <c r="B2" s="32"/>
      <c r="C2" s="15"/>
      <c r="D2" s="16"/>
      <c r="E2" s="16"/>
      <c r="F2" s="16"/>
      <c r="G2" s="16"/>
      <c r="H2" s="16"/>
      <c r="I2" s="16"/>
      <c r="J2" s="441" t="str">
        <f>IF(COUNTA(F6:F8)+COUNTA(F9:F16)=11,0,'C-L'!$CH$1)</f>
        <v>Incomplete entry</v>
      </c>
      <c r="K2" s="441"/>
      <c r="L2" s="441"/>
      <c r="M2" s="18"/>
      <c r="N2" s="18"/>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row>
    <row r="3" spans="1:50" s="30" customFormat="1" ht="12.75" customHeight="1" x14ac:dyDescent="0.2">
      <c r="A3" s="434"/>
      <c r="B3" s="16"/>
      <c r="C3" s="16"/>
      <c r="D3" s="323" t="str">
        <f>'C-L'!BK1</f>
        <v>Data entry on yellow cells</v>
      </c>
      <c r="E3" s="16"/>
      <c r="F3" s="16"/>
      <c r="G3" s="16"/>
      <c r="H3" s="16"/>
      <c r="I3" s="16"/>
      <c r="J3" s="18"/>
      <c r="K3" s="18"/>
      <c r="L3" s="18"/>
      <c r="M3" s="18"/>
      <c r="N3" s="18"/>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row>
    <row r="4" spans="1:50" s="30" customFormat="1" ht="12.75" customHeight="1" thickBot="1" x14ac:dyDescent="0.25">
      <c r="A4" s="434"/>
      <c r="B4" s="18"/>
      <c r="C4" s="18"/>
      <c r="D4" s="19"/>
      <c r="E4" s="19"/>
      <c r="F4" s="2"/>
      <c r="G4" s="2"/>
      <c r="H4" s="18"/>
      <c r="I4" s="18"/>
      <c r="J4" s="18"/>
      <c r="K4" s="18"/>
      <c r="L4" s="18"/>
      <c r="M4" s="18"/>
      <c r="N4" s="18"/>
      <c r="O4" s="16"/>
      <c r="P4" s="16"/>
      <c r="Q4" s="16"/>
      <c r="R4" s="16"/>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row>
    <row r="5" spans="1:50" s="30" customFormat="1" ht="26.25" customHeight="1" thickTop="1" x14ac:dyDescent="0.2">
      <c r="A5" s="434"/>
      <c r="B5" s="439"/>
      <c r="C5" s="439"/>
      <c r="D5" s="439"/>
      <c r="E5" s="13"/>
      <c r="F5" s="299" t="str">
        <f>'C-L'!BL1</f>
        <v>Enter your lift data</v>
      </c>
      <c r="G5" s="299"/>
      <c r="H5" s="299"/>
      <c r="I5" s="14"/>
      <c r="J5" s="18"/>
      <c r="K5" s="442" t="str">
        <f>'C-L'!BM1</f>
        <v>Values comming from operators experience and control agencies</v>
      </c>
      <c r="L5" s="443"/>
      <c r="M5" s="18"/>
      <c r="N5" s="18"/>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row>
    <row r="6" spans="1:50" s="30" customFormat="1" ht="26.25" customHeight="1" thickBot="1" x14ac:dyDescent="0.25">
      <c r="A6" s="434"/>
      <c r="B6" s="20"/>
      <c r="C6" s="20"/>
      <c r="D6" s="50" t="str">
        <f>'C-L'!B1</f>
        <v>Resort name</v>
      </c>
      <c r="F6" s="435"/>
      <c r="G6" s="435"/>
      <c r="H6" s="435"/>
      <c r="I6" s="435"/>
      <c r="J6" s="18"/>
      <c r="K6" s="444"/>
      <c r="L6" s="445"/>
      <c r="M6" s="18"/>
      <c r="N6" s="18"/>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row>
    <row r="7" spans="1:50" s="30" customFormat="1" ht="26.25" customHeight="1" thickTop="1" x14ac:dyDescent="0.2">
      <c r="A7" s="16"/>
      <c r="B7" s="20"/>
      <c r="C7" s="20"/>
      <c r="D7" s="50" t="str">
        <f>'C-L'!O1</f>
        <v>Date</v>
      </c>
      <c r="F7" s="435"/>
      <c r="G7" s="435"/>
      <c r="H7" s="435"/>
      <c r="I7" s="435"/>
      <c r="J7" s="18"/>
      <c r="K7" s="18"/>
      <c r="L7" s="18"/>
      <c r="M7" s="18"/>
      <c r="N7" s="18"/>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row>
    <row r="8" spans="1:50" s="30" customFormat="1" ht="26.25" customHeight="1" x14ac:dyDescent="0.2">
      <c r="A8" s="16"/>
      <c r="B8" s="20"/>
      <c r="C8" s="20"/>
      <c r="D8" s="50" t="str">
        <f>'C-L'!C1</f>
        <v>Lift name</v>
      </c>
      <c r="F8" s="435"/>
      <c r="G8" s="435"/>
      <c r="H8" s="435"/>
      <c r="I8" s="435"/>
      <c r="J8" s="16"/>
      <c r="K8" s="18"/>
      <c r="L8" s="18"/>
      <c r="M8" s="16"/>
      <c r="N8" s="438" t="str">
        <f>'C-L'!$BO$1</f>
        <v>Be aware: your case will never be the same as ours</v>
      </c>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row>
    <row r="9" spans="1:50" s="30" customFormat="1" ht="26.25" customHeight="1" x14ac:dyDescent="0.2">
      <c r="A9" s="16"/>
      <c r="B9" s="20"/>
      <c r="C9" s="20"/>
      <c r="D9" s="50" t="str">
        <f>'C-L'!AJ1</f>
        <v>Evacuation limit time</v>
      </c>
      <c r="E9" s="49" t="s">
        <v>67</v>
      </c>
      <c r="F9" s="380"/>
      <c r="G9" s="388" t="str">
        <f>'C-L'!AR1</f>
        <v xml:space="preserve"> mn.</v>
      </c>
      <c r="H9" s="440" t="str">
        <f>'C-L'!BP1</f>
        <v>In Europe 180 mn besides 30 mn to take the decision</v>
      </c>
      <c r="I9" s="440"/>
      <c r="J9" s="16"/>
      <c r="K9" s="18"/>
      <c r="L9" s="18"/>
      <c r="M9" s="16"/>
      <c r="N9" s="438"/>
      <c r="O9" s="16"/>
      <c r="P9" s="16" t="b">
        <f>ISNUMBER(Durée_maximale_d_évacuation)</f>
        <v>0</v>
      </c>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row>
    <row r="10" spans="1:50" s="30" customFormat="1" ht="26.25" customHeight="1" x14ac:dyDescent="0.2">
      <c r="A10" s="16"/>
      <c r="B10" s="20"/>
      <c r="C10" s="20"/>
      <c r="D10" s="50" t="str">
        <f>'C-L'!D1</f>
        <v>Lift type</v>
      </c>
      <c r="E10" s="49" t="s">
        <v>66</v>
      </c>
      <c r="F10" s="381"/>
      <c r="G10" s="31"/>
      <c r="H10" s="47"/>
      <c r="I10" s="48"/>
      <c r="J10" s="16"/>
      <c r="K10" s="16"/>
      <c r="L10" s="16"/>
      <c r="M10" s="16"/>
      <c r="N10" s="438"/>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0" s="30" customFormat="1" ht="26.25" customHeight="1" x14ac:dyDescent="0.2">
      <c r="A11" s="16"/>
      <c r="B11" s="20"/>
      <c r="C11" s="20"/>
      <c r="D11" s="50" t="str">
        <f>'C-L'!E1</f>
        <v xml:space="preserve">Vehicle capacity (maximum) </v>
      </c>
      <c r="E11" s="49" t="s">
        <v>65</v>
      </c>
      <c r="F11" s="380"/>
      <c r="G11" s="388" t="str">
        <f>'C-L'!AS1</f>
        <v xml:space="preserve"> prs.</v>
      </c>
      <c r="H11" s="48" t="s">
        <v>179</v>
      </c>
      <c r="I11" s="48"/>
      <c r="J11" s="16"/>
      <c r="K11" s="16"/>
      <c r="L11" s="16"/>
      <c r="M11" s="16"/>
      <c r="N11" s="438"/>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row>
    <row r="12" spans="1:50" s="30" customFormat="1" ht="26.25" customHeight="1" x14ac:dyDescent="0.2">
      <c r="A12" s="16"/>
      <c r="B12" s="20"/>
      <c r="C12" s="20"/>
      <c r="D12" s="50" t="str">
        <f>'C-L'!T1</f>
        <v>Number of towers</v>
      </c>
      <c r="E12" s="50"/>
      <c r="F12" s="382"/>
      <c r="G12" s="51"/>
      <c r="H12" s="436" t="str">
        <f>'C-L'!BQ1</f>
        <v>over the two stations (25 towers maximum)</v>
      </c>
      <c r="I12" s="43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row>
    <row r="13" spans="1:50" s="30" customFormat="1" ht="26.25" customHeight="1" x14ac:dyDescent="0.2">
      <c r="A13" s="16"/>
      <c r="B13" s="20"/>
      <c r="C13" s="20"/>
      <c r="D13" s="50" t="str">
        <f>'C-L'!G1</f>
        <v>Distance between vehicles (on average)</v>
      </c>
      <c r="E13" s="49" t="s">
        <v>63</v>
      </c>
      <c r="F13" s="383"/>
      <c r="G13" s="388" t="s">
        <v>228</v>
      </c>
      <c r="H13" s="48"/>
      <c r="I13" s="48"/>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row>
    <row r="14" spans="1:50" s="30" customFormat="1" ht="26.25" customHeight="1" x14ac:dyDescent="0.2">
      <c r="A14" s="16"/>
      <c r="B14" s="20"/>
      <c r="C14" s="20"/>
      <c r="D14" s="50" t="str">
        <f>'C-L'!R1</f>
        <v>Maximum number of evacuated vehicles  by team</v>
      </c>
      <c r="E14" s="49" t="s">
        <v>64</v>
      </c>
      <c r="F14" s="384"/>
      <c r="G14" s="53" t="str">
        <f>'C-L'!AT1</f>
        <v xml:space="preserve"> veh.</v>
      </c>
      <c r="H14" s="48"/>
      <c r="I14" s="48"/>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row>
    <row r="15" spans="1:50" s="30" customFormat="1" ht="26.25" customHeight="1" x14ac:dyDescent="0.2">
      <c r="A15" s="16"/>
      <c r="B15" s="20"/>
      <c r="C15" s="20"/>
      <c r="D15" s="50" t="str">
        <f>'C-L'!K1</f>
        <v>Filling of the up-coming strand</v>
      </c>
      <c r="E15" s="50"/>
      <c r="F15" s="385"/>
      <c r="G15" s="52" t="s">
        <v>239</v>
      </c>
      <c r="H15" s="436" t="str">
        <f>'C-L'!BR1</f>
        <v>Choose the worst case of your operation</v>
      </c>
      <c r="I15" s="43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row>
    <row r="16" spans="1:50" s="30" customFormat="1" ht="26.25" customHeight="1" x14ac:dyDescent="0.2">
      <c r="A16" s="16"/>
      <c r="B16" s="20"/>
      <c r="C16" s="20"/>
      <c r="D16" s="50" t="str">
        <f>'C-L'!L1</f>
        <v>Filling of the down-going strand</v>
      </c>
      <c r="E16" s="50"/>
      <c r="F16" s="385"/>
      <c r="G16" s="388" t="s">
        <v>239</v>
      </c>
      <c r="H16" s="436" t="str">
        <f>'C-L'!BR1</f>
        <v>Choose the worst case of your operation</v>
      </c>
      <c r="I16" s="43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row>
    <row r="17" spans="1:50" s="30" customFormat="1" ht="26.25" customHeight="1" x14ac:dyDescent="0.2">
      <c r="A17" s="16"/>
      <c r="B17" s="433" t="str">
        <f>'C-L'!R1</f>
        <v>Maximum number of evacuated vehicles  by team</v>
      </c>
      <c r="C17" s="433"/>
      <c r="D17" s="433"/>
      <c r="E17" s="377" t="s">
        <v>64</v>
      </c>
      <c r="F17" s="389">
        <f>ROUND(NMaxSiègeEquipe*(1+(100-Remplissage_du_brin_montant)*0.005),0)</f>
        <v>0</v>
      </c>
      <c r="G17" s="378" t="str">
        <f>'C-L'!AT2</f>
        <v>Fahrz.</v>
      </c>
      <c r="H17" s="432" t="str">
        <f>'C-L'!H1</f>
        <v>Uphill strand</v>
      </c>
      <c r="I17" s="432"/>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row>
    <row r="18" spans="1:50" s="30" customFormat="1" ht="26.25" customHeight="1" x14ac:dyDescent="0.2">
      <c r="A18" s="16"/>
      <c r="B18" s="433" t="str">
        <f>'C-L'!R1</f>
        <v>Maximum number of evacuated vehicles  by team</v>
      </c>
      <c r="C18" s="433"/>
      <c r="D18" s="433"/>
      <c r="E18" s="377" t="s">
        <v>64</v>
      </c>
      <c r="F18" s="389">
        <f>NMaxSiègeEquipe*(1+(100-Remplissage_du_brin_descendant)*0.005)</f>
        <v>0</v>
      </c>
      <c r="G18" s="378" t="str">
        <f>'C-L'!AT3</f>
        <v xml:space="preserve"> veh.</v>
      </c>
      <c r="H18" s="432" t="str">
        <f>'C-L'!I1</f>
        <v>Downhill strand</v>
      </c>
      <c r="I18" s="432"/>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row>
    <row r="19" spans="1:50" s="30" customForma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row>
    <row r="20" spans="1:50" s="30" customFormat="1" x14ac:dyDescent="0.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row>
    <row r="21" spans="1:50" s="30" customForma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row>
    <row r="22" spans="1:50" s="30" customForma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row>
    <row r="23" spans="1:50" s="30" customForma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row>
    <row r="24" spans="1:50" s="30" customForma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row>
    <row r="25" spans="1:50" s="30" customForma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row>
    <row r="26" spans="1:50" s="30" customFormat="1" x14ac:dyDescent="0.2">
      <c r="A26" s="16"/>
      <c r="B26" s="16"/>
      <c r="C26" s="16"/>
      <c r="D26" s="16"/>
      <c r="E26" s="16"/>
      <c r="F26" s="19"/>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row>
    <row r="27" spans="1:50" s="30" customForma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row>
    <row r="28" spans="1:50" s="30" customForma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row>
    <row r="29" spans="1:50" s="30" customForma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row>
    <row r="30" spans="1:50" s="30" customForma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row>
    <row r="31" spans="1:50" s="30" customForma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row>
    <row r="32" spans="1:50" s="30" customForma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row>
    <row r="33" spans="1:50" s="30" customForma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row>
    <row r="34" spans="1:50" s="30" customForma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row>
    <row r="35" spans="1:50" s="30" customForma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row>
    <row r="36" spans="1:50" s="30" customForma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row>
    <row r="37" spans="1:50" s="30" customForma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row>
    <row r="38" spans="1:50" s="30" customForma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row>
    <row r="39" spans="1:50" s="30" customForma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row>
    <row r="40" spans="1:50" s="30" customFormat="1"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row>
    <row r="41" spans="1:50" s="30" customForma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row>
    <row r="42" spans="1:50" s="30" customForma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row>
    <row r="43" spans="1:50" s="30" customForma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row>
    <row r="44" spans="1:50" s="30" customForma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row>
    <row r="45" spans="1:50" s="30" customForma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row>
    <row r="46" spans="1:50" s="30" customFormat="1"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row>
    <row r="47" spans="1:50" s="30" customForma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row>
    <row r="48" spans="1:50" s="30" customForma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row>
    <row r="49" spans="1:50" s="30" customForma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row>
    <row r="50" spans="1:50" s="30" customForma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row>
    <row r="51" spans="1:50" s="30" customFormat="1" hidden="1" x14ac:dyDescent="0.2">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row>
    <row r="52" spans="1:50" s="30" customFormat="1" hidden="1" x14ac:dyDescent="0.2">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row>
    <row r="53" spans="1:50" s="30" customFormat="1" hidden="1" x14ac:dyDescent="0.2">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row>
    <row r="54" spans="1:50" s="30" customFormat="1" hidden="1" x14ac:dyDescent="0.2">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row>
    <row r="55" spans="1:50" s="30" customFormat="1" hidden="1" x14ac:dyDescent="0.2">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row>
    <row r="56" spans="1:50" s="30" customFormat="1" hidden="1" x14ac:dyDescent="0.2">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row>
    <row r="57" spans="1:50" s="30" customFormat="1" hidden="1" x14ac:dyDescent="0.2">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row>
    <row r="58" spans="1:50" s="30" customFormat="1" hidden="1" x14ac:dyDescent="0.2">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row>
    <row r="59" spans="1:50" s="30" customFormat="1" hidden="1" x14ac:dyDescent="0.2">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row>
    <row r="60" spans="1:50" s="30" customFormat="1" hidden="1" x14ac:dyDescent="0.2">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row>
    <row r="61" spans="1:50" s="30" customFormat="1" hidden="1" x14ac:dyDescent="0.2">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row>
    <row r="62" spans="1:50" s="30" customFormat="1" hidden="1" x14ac:dyDescent="0.2">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row>
    <row r="63" spans="1:50" s="30" customFormat="1" hidden="1" x14ac:dyDescent="0.2">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row>
    <row r="64" spans="1:50" s="30" customFormat="1" hidden="1" x14ac:dyDescent="0.2">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row>
    <row r="65" spans="1:50" s="30" customFormat="1" hidden="1" x14ac:dyDescent="0.2">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row>
    <row r="66" spans="1:50" s="30" customFormat="1" hidden="1" x14ac:dyDescent="0.2">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row>
    <row r="67" spans="1:50" s="30" customFormat="1" hidden="1" x14ac:dyDescent="0.2">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row>
    <row r="68" spans="1:50" s="30" customFormat="1" hidden="1" x14ac:dyDescent="0.2">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row>
    <row r="69" spans="1:50" s="30" customFormat="1" hidden="1" x14ac:dyDescent="0.2">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row>
    <row r="70" spans="1:50" s="30" customFormat="1" hidden="1" x14ac:dyDescent="0.2">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row>
    <row r="71" spans="1:50" s="30" customFormat="1" hidden="1" x14ac:dyDescent="0.2">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row>
    <row r="72" spans="1:50" s="30" customFormat="1" hidden="1" x14ac:dyDescent="0.2">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row>
    <row r="73" spans="1:50" s="30" customFormat="1" hidden="1" x14ac:dyDescent="0.2">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row>
    <row r="74" spans="1:50" s="30" customFormat="1" hidden="1" x14ac:dyDescent="0.2">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row>
    <row r="75" spans="1:50" s="30" customFormat="1" hidden="1" x14ac:dyDescent="0.2">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row>
    <row r="76" spans="1:50" s="30" customFormat="1" hidden="1" x14ac:dyDescent="0.2">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row>
    <row r="77" spans="1:50" s="30" customFormat="1" hidden="1" x14ac:dyDescent="0.2">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row>
    <row r="78" spans="1:50" s="30" customFormat="1" hidden="1" x14ac:dyDescent="0.2">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row>
    <row r="79" spans="1:50" s="30" customFormat="1" hidden="1" x14ac:dyDescent="0.2">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row>
    <row r="80" spans="1:50" s="30" customFormat="1" hidden="1" x14ac:dyDescent="0.2">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row>
    <row r="81" spans="1:50" s="30" customFormat="1" hidden="1" x14ac:dyDescent="0.2">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row>
    <row r="82" spans="1:50" s="30" customFormat="1" hidden="1" x14ac:dyDescent="0.2">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row>
    <row r="83" spans="1:50" s="30" customFormat="1" hidden="1" x14ac:dyDescent="0.2">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row>
    <row r="84" spans="1:50" s="30" customFormat="1" hidden="1" x14ac:dyDescent="0.2">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row>
    <row r="85" spans="1:50" s="30" customFormat="1" hidden="1" x14ac:dyDescent="0.2">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row>
    <row r="86" spans="1:50" s="30" customFormat="1" hidden="1" x14ac:dyDescent="0.2">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row>
    <row r="87" spans="1:50" s="30" customFormat="1" hidden="1" x14ac:dyDescent="0.2">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row>
    <row r="88" spans="1:50" s="30" customFormat="1" hidden="1" x14ac:dyDescent="0.2">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row>
    <row r="89" spans="1:50" s="30" customFormat="1" hidden="1" x14ac:dyDescent="0.2">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row>
    <row r="90" spans="1:50" s="30" customFormat="1" hidden="1" x14ac:dyDescent="0.2">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row>
    <row r="91" spans="1:50" s="30" customFormat="1" hidden="1"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row>
    <row r="92" spans="1:50" s="30" customFormat="1" hidden="1" x14ac:dyDescent="0.2">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row>
    <row r="93" spans="1:50" s="30" customFormat="1" hidden="1" x14ac:dyDescent="0.2">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row>
    <row r="94" spans="1:50" s="30" customFormat="1" hidden="1" x14ac:dyDescent="0.2">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row>
    <row r="95" spans="1:50" s="30" customFormat="1" hidden="1" x14ac:dyDescent="0.2">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row>
    <row r="96" spans="1:50" s="30" customFormat="1" hidden="1"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row>
    <row r="97" spans="1:50" s="30" customFormat="1" hidden="1"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row>
    <row r="98" spans="1:50" s="30" customFormat="1" hidden="1" x14ac:dyDescent="0.2">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row>
    <row r="99" spans="1:50" s="30" customFormat="1" hidden="1" x14ac:dyDescent="0.2">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row>
    <row r="100" spans="1:50" s="30" customFormat="1" hidden="1" x14ac:dyDescent="0.2">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row>
    <row r="101" spans="1:50" s="30" customFormat="1" hidden="1" x14ac:dyDescent="0.2">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row>
    <row r="102" spans="1:50" s="30" customFormat="1" hidden="1" x14ac:dyDescent="0.2">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row>
    <row r="103" spans="1:50" s="30" customFormat="1" hidden="1" x14ac:dyDescent="0.2">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row>
    <row r="104" spans="1:50" s="30" customFormat="1" hidden="1" x14ac:dyDescent="0.2">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row>
    <row r="105" spans="1:50" s="30" customFormat="1" hidden="1" x14ac:dyDescent="0.2">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row>
    <row r="106" spans="1:50" s="30" customFormat="1" hidden="1" x14ac:dyDescent="0.2">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row>
    <row r="107" spans="1:50" s="30" customFormat="1" hidden="1" x14ac:dyDescent="0.2">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row>
    <row r="108" spans="1:50" s="30" customFormat="1" hidden="1" x14ac:dyDescent="0.2">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row>
    <row r="109" spans="1:50" s="30" customFormat="1" hidden="1" x14ac:dyDescent="0.2">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row>
    <row r="110" spans="1:50" s="30" customFormat="1" hidden="1" x14ac:dyDescent="0.2">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row>
    <row r="111" spans="1:50" s="30" customFormat="1" hidden="1" x14ac:dyDescent="0.2">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row>
    <row r="112" spans="1:50" s="30" customFormat="1" hidden="1" x14ac:dyDescent="0.2">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row>
    <row r="113" spans="1:50" s="30" customFormat="1" hidden="1" x14ac:dyDescent="0.2">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row>
    <row r="114" spans="1:50" s="30" customFormat="1" hidden="1" x14ac:dyDescent="0.2">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row>
    <row r="115" spans="1:50" s="30" customFormat="1" hidden="1" x14ac:dyDescent="0.2">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row>
    <row r="116" spans="1:50" s="30" customFormat="1" hidden="1" x14ac:dyDescent="0.2">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row>
    <row r="117" spans="1:50" s="30" customFormat="1" hidden="1" x14ac:dyDescent="0.2">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row>
    <row r="118" spans="1:50" s="30" customFormat="1" hidden="1" x14ac:dyDescent="0.2">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row>
    <row r="119" spans="1:50" s="30" customFormat="1" hidden="1" x14ac:dyDescent="0.2">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row>
    <row r="120" spans="1:50" s="30" customFormat="1" hidden="1" x14ac:dyDescent="0.2">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row>
    <row r="121" spans="1:50" s="30" customFormat="1" hidden="1" x14ac:dyDescent="0.2">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row>
    <row r="122" spans="1:50" s="30" customFormat="1" hidden="1" x14ac:dyDescent="0.2">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row>
    <row r="123" spans="1:50" s="30" customFormat="1" hidden="1" x14ac:dyDescent="0.2">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row>
    <row r="124" spans="1:50" s="30" customFormat="1" hidden="1" x14ac:dyDescent="0.2">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row>
    <row r="125" spans="1:50" s="30" customFormat="1" hidden="1" x14ac:dyDescent="0.2">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row>
    <row r="126" spans="1:50" s="30" customFormat="1" hidden="1" x14ac:dyDescent="0.2">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row>
    <row r="127" spans="1:50" s="30" customFormat="1" hidden="1" x14ac:dyDescent="0.2">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row>
    <row r="128" spans="1:50" s="30" customFormat="1" hidden="1" x14ac:dyDescent="0.2">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row>
    <row r="129" spans="1:50" s="30" customFormat="1" hidden="1" x14ac:dyDescent="0.2">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row>
    <row r="130" spans="1:50" s="30" customFormat="1" hidden="1" x14ac:dyDescent="0.2">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row>
    <row r="131" spans="1:50" s="30" customFormat="1" hidden="1" x14ac:dyDescent="0.2">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row>
    <row r="132" spans="1:50" s="30" customFormat="1" hidden="1" x14ac:dyDescent="0.2">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row>
    <row r="133" spans="1:50" s="30" customFormat="1" hidden="1" x14ac:dyDescent="0.2">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row>
    <row r="134" spans="1:50" s="30" customFormat="1" hidden="1" x14ac:dyDescent="0.2">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row>
    <row r="135" spans="1:50" s="30" customFormat="1" hidden="1" x14ac:dyDescent="0.2">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row>
    <row r="136" spans="1:50" s="30" customFormat="1" hidden="1" x14ac:dyDescent="0.2">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row>
    <row r="137" spans="1:50" s="30" customFormat="1" hidden="1" x14ac:dyDescent="0.2">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row>
    <row r="138" spans="1:50" s="30" customFormat="1" hidden="1" x14ac:dyDescent="0.2">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row>
    <row r="139" spans="1:50" s="30" customFormat="1" hidden="1" x14ac:dyDescent="0.2">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row>
    <row r="140" spans="1:50" s="30" customFormat="1" hidden="1" x14ac:dyDescent="0.2">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row>
    <row r="141" spans="1:50" s="30" customFormat="1" hidden="1" x14ac:dyDescent="0.2">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row>
    <row r="142" spans="1:50" s="30" customFormat="1" hidden="1" x14ac:dyDescent="0.2">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row>
    <row r="143" spans="1:50" s="30" customFormat="1" hidden="1" x14ac:dyDescent="0.2">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row>
    <row r="144" spans="1:50" s="30" customFormat="1" hidden="1" x14ac:dyDescent="0.2">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row>
    <row r="145" spans="1:50" s="30" customFormat="1" hidden="1" x14ac:dyDescent="0.2">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row>
    <row r="146" spans="1:50" s="30" customFormat="1" hidden="1" x14ac:dyDescent="0.2">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row>
    <row r="147" spans="1:50" s="30" customFormat="1" hidden="1" x14ac:dyDescent="0.2">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row>
    <row r="148" spans="1:50" s="30" customFormat="1" hidden="1" x14ac:dyDescent="0.2">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s="30" customFormat="1" hidden="1" x14ac:dyDescent="0.2">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s="30" customFormat="1" hidden="1" x14ac:dyDescent="0.2">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s="30" customFormat="1" hidden="1" x14ac:dyDescent="0.2">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s="30" customFormat="1" hidden="1" x14ac:dyDescent="0.2">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s="30" customFormat="1" hidden="1" x14ac:dyDescent="0.2">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s="30" customFormat="1" hidden="1" x14ac:dyDescent="0.2">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s="30" customFormat="1" hidden="1" x14ac:dyDescent="0.2">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s="30" customFormat="1" hidden="1" x14ac:dyDescent="0.2">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s="30" customFormat="1" hidden="1" x14ac:dyDescent="0.2">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s="30" customFormat="1" hidden="1" x14ac:dyDescent="0.2">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s="30" customFormat="1" hidden="1" x14ac:dyDescent="0.2">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s="30" customFormat="1" hidden="1" x14ac:dyDescent="0.2">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s="30" customFormat="1" hidden="1" x14ac:dyDescent="0.2">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s="30" customFormat="1" hidden="1" x14ac:dyDescent="0.2">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s="30" customFormat="1" hidden="1" x14ac:dyDescent="0.2">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s="30" customFormat="1" hidden="1" x14ac:dyDescent="0.2">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s="30" customFormat="1" hidden="1" x14ac:dyDescent="0.2">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s="30" customFormat="1" hidden="1" x14ac:dyDescent="0.2">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s="30" customFormat="1" hidden="1" x14ac:dyDescent="0.2">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s="30" customFormat="1" hidden="1" x14ac:dyDescent="0.2">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s="30" customFormat="1" hidden="1" x14ac:dyDescent="0.2">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s="30" customFormat="1" hidden="1" x14ac:dyDescent="0.2">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s="30" customFormat="1" hidden="1" x14ac:dyDescent="0.2">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s="30" customFormat="1" hidden="1" x14ac:dyDescent="0.2">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s="30" customFormat="1" hidden="1" x14ac:dyDescent="0.2">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s="30" customFormat="1" hidden="1" x14ac:dyDescent="0.2">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s="30" customFormat="1" hidden="1" x14ac:dyDescent="0.2">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s="30" customFormat="1" hidden="1" x14ac:dyDescent="0.2">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s="30" customFormat="1" hidden="1" x14ac:dyDescent="0.2">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s="30" customFormat="1" hidden="1" x14ac:dyDescent="0.2">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s="30" customFormat="1" hidden="1" x14ac:dyDescent="0.2">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s="30" customFormat="1" hidden="1" x14ac:dyDescent="0.2">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s="30" customFormat="1" hidden="1" x14ac:dyDescent="0.2">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s="30" customFormat="1" hidden="1" x14ac:dyDescent="0.2">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s="30" customFormat="1" hidden="1" x14ac:dyDescent="0.2">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s="30" customFormat="1" hidden="1" x14ac:dyDescent="0.2">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s="30" customFormat="1" hidden="1" x14ac:dyDescent="0.2">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s="30" customFormat="1" hidden="1" x14ac:dyDescent="0.2">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s="30" customFormat="1" hidden="1" x14ac:dyDescent="0.2">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s="30" customFormat="1" hidden="1" x14ac:dyDescent="0.2">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s="30" customFormat="1" hidden="1" x14ac:dyDescent="0.2">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s="30" customFormat="1" hidden="1" x14ac:dyDescent="0.2">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s="30" customFormat="1" hidden="1" x14ac:dyDescent="0.2">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s="30" customFormat="1" hidden="1" x14ac:dyDescent="0.2">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s="30" customFormat="1" hidden="1" x14ac:dyDescent="0.2">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s="30" customFormat="1" hidden="1" x14ac:dyDescent="0.2">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s="30" customFormat="1" hidden="1" x14ac:dyDescent="0.2">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s="30" customFormat="1" hidden="1" x14ac:dyDescent="0.2">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s="30" customFormat="1" hidden="1" x14ac:dyDescent="0.2">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s="30" customFormat="1" hidden="1" x14ac:dyDescent="0.2">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s="30" customFormat="1" hidden="1" x14ac:dyDescent="0.2">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s="30" customFormat="1" hidden="1" x14ac:dyDescent="0.2">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s="30" customFormat="1" hidden="1" x14ac:dyDescent="0.2">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s="30" customFormat="1" hidden="1" x14ac:dyDescent="0.2">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s="30" customFormat="1" hidden="1" x14ac:dyDescent="0.2">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s="30" customFormat="1" hidden="1" x14ac:dyDescent="0.2">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s="30" customFormat="1" hidden="1" x14ac:dyDescent="0.2">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s="30" customFormat="1" hidden="1" x14ac:dyDescent="0.2">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s="30" customFormat="1" hidden="1" x14ac:dyDescent="0.2">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s="30" customFormat="1" hidden="1" x14ac:dyDescent="0.2">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s="30" customFormat="1" hidden="1" x14ac:dyDescent="0.2">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s="30" customFormat="1" hidden="1" x14ac:dyDescent="0.2">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s="30" customFormat="1" hidden="1" x14ac:dyDescent="0.2">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s="30" customFormat="1" hidden="1" x14ac:dyDescent="0.2">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s="30" customFormat="1" hidden="1" x14ac:dyDescent="0.2">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s="30" customFormat="1" hidden="1" x14ac:dyDescent="0.2">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s="30" customFormat="1" hidden="1" x14ac:dyDescent="0.2">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s="30" customFormat="1" hidden="1" x14ac:dyDescent="0.2">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s="30" customFormat="1" hidden="1" x14ac:dyDescent="0.2">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s="30" customFormat="1" hidden="1" x14ac:dyDescent="0.2">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s="30" customFormat="1" hidden="1" x14ac:dyDescent="0.2">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s="30" customFormat="1" hidden="1" x14ac:dyDescent="0.2">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s="30" customFormat="1" hidden="1" x14ac:dyDescent="0.2">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s="30" customFormat="1" hidden="1" x14ac:dyDescent="0.2">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s="30" customFormat="1" hidden="1" x14ac:dyDescent="0.2">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s="30" customFormat="1" hidden="1" x14ac:dyDescent="0.2">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s="30" customFormat="1" hidden="1" x14ac:dyDescent="0.2">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s="30" customFormat="1" hidden="1" x14ac:dyDescent="0.2">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s="30" customFormat="1" hidden="1" x14ac:dyDescent="0.2">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s="30" customFormat="1" hidden="1" x14ac:dyDescent="0.2">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s="30" customFormat="1" hidden="1" x14ac:dyDescent="0.2">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s="30" customFormat="1" hidden="1" x14ac:dyDescent="0.2">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s="30" customFormat="1" hidden="1" x14ac:dyDescent="0.2">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s="30" customFormat="1" hidden="1" x14ac:dyDescent="0.2">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s="30" customFormat="1" hidden="1" x14ac:dyDescent="0.2">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s="30" customFormat="1" hidden="1" x14ac:dyDescent="0.2">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s="30" customFormat="1" hidden="1" x14ac:dyDescent="0.2">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s="30" customFormat="1" hidden="1" x14ac:dyDescent="0.2">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s="30" customFormat="1" hidden="1" x14ac:dyDescent="0.2">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s="30" customFormat="1" hidden="1" x14ac:dyDescent="0.2">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s="30" customFormat="1" hidden="1" x14ac:dyDescent="0.2">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s="30" customFormat="1" hidden="1" x14ac:dyDescent="0.2">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s="30" customFormat="1" hidden="1" x14ac:dyDescent="0.2">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s="30" customFormat="1" hidden="1" x14ac:dyDescent="0.2">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s="30" customFormat="1" hidden="1" x14ac:dyDescent="0.2">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s="30" customFormat="1" hidden="1" x14ac:dyDescent="0.2">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s="30" customFormat="1" hidden="1" x14ac:dyDescent="0.2">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s="30" customFormat="1" hidden="1" x14ac:dyDescent="0.2">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s="30" customFormat="1" hidden="1" x14ac:dyDescent="0.2">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s="30" customFormat="1" hidden="1" x14ac:dyDescent="0.2">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s="30" customFormat="1" hidden="1" x14ac:dyDescent="0.2">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s="30" customFormat="1" hidden="1" x14ac:dyDescent="0.2">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s="30" customFormat="1" hidden="1" x14ac:dyDescent="0.2">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s="30" customFormat="1" hidden="1" x14ac:dyDescent="0.2">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s="30" customFormat="1" hidden="1" x14ac:dyDescent="0.2">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s="30" customFormat="1" hidden="1" x14ac:dyDescent="0.2">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s="30" customFormat="1" hidden="1" x14ac:dyDescent="0.2">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s="30" customFormat="1" hidden="1" x14ac:dyDescent="0.2">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s="30" customFormat="1" hidden="1" x14ac:dyDescent="0.2">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s="30" customFormat="1" hidden="1" x14ac:dyDescent="0.2">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s="30" customFormat="1" hidden="1" x14ac:dyDescent="0.2">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s="30" customFormat="1" hidden="1" x14ac:dyDescent="0.2">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s="30" customFormat="1" hidden="1" x14ac:dyDescent="0.2">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s="30" customFormat="1" hidden="1" x14ac:dyDescent="0.2">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s="30" customFormat="1" hidden="1" x14ac:dyDescent="0.2">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s="30" customFormat="1" hidden="1" x14ac:dyDescent="0.2">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s="30" customFormat="1" hidden="1" x14ac:dyDescent="0.2">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s="30" customFormat="1" hidden="1" x14ac:dyDescent="0.2">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s="30" customFormat="1" hidden="1" x14ac:dyDescent="0.2">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s="30" customFormat="1" hidden="1" x14ac:dyDescent="0.2">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s="30" customFormat="1" hidden="1" x14ac:dyDescent="0.2">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s="30" customFormat="1" hidden="1" x14ac:dyDescent="0.2">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s="30" customFormat="1" hidden="1" x14ac:dyDescent="0.2">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s="30" customFormat="1" hidden="1" x14ac:dyDescent="0.2">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s="30" customFormat="1" hidden="1" x14ac:dyDescent="0.2">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s="30" customFormat="1" hidden="1" x14ac:dyDescent="0.2">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s="30" customFormat="1" hidden="1" x14ac:dyDescent="0.2">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s="30" customFormat="1" hidden="1" x14ac:dyDescent="0.2">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s="30" customFormat="1" hidden="1" x14ac:dyDescent="0.2">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s="30" customFormat="1" hidden="1" x14ac:dyDescent="0.2">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s="30" customFormat="1" hidden="1" x14ac:dyDescent="0.2">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s="30" customFormat="1" hidden="1" x14ac:dyDescent="0.2">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s="30" customFormat="1" hidden="1" x14ac:dyDescent="0.2">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s="30" customFormat="1" hidden="1" x14ac:dyDescent="0.2">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s="30" customFormat="1" hidden="1" x14ac:dyDescent="0.2">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s="30" customFormat="1" hidden="1" x14ac:dyDescent="0.2">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s="30" customFormat="1" hidden="1" x14ac:dyDescent="0.2">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s="30" customFormat="1" hidden="1" x14ac:dyDescent="0.2">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s="30" customFormat="1" hidden="1" x14ac:dyDescent="0.2">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s="30" customFormat="1" hidden="1" x14ac:dyDescent="0.2">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s="30" customFormat="1" hidden="1" x14ac:dyDescent="0.2">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s="30" customFormat="1" hidden="1" x14ac:dyDescent="0.2">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s="30" customFormat="1" hidden="1" x14ac:dyDescent="0.2">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s="30" customFormat="1" hidden="1" x14ac:dyDescent="0.2">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s="30" customFormat="1" hidden="1" x14ac:dyDescent="0.2">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s="30" customFormat="1" hidden="1" x14ac:dyDescent="0.2">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s="30" customFormat="1" hidden="1" x14ac:dyDescent="0.2">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s="30" customFormat="1" hidden="1" x14ac:dyDescent="0.2">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s="30" customFormat="1" hidden="1" x14ac:dyDescent="0.2">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s="30" customFormat="1" hidden="1" x14ac:dyDescent="0.2">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s="30" customFormat="1" hidden="1" x14ac:dyDescent="0.2">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s="30" customFormat="1" hidden="1" x14ac:dyDescent="0.2">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x14ac:dyDescent="0.2"/>
    <row r="302" spans="1:50" x14ac:dyDescent="0.2"/>
  </sheetData>
  <sheetProtection selectLockedCells="1"/>
  <mergeCells count="17">
    <mergeCell ref="B1:N1"/>
    <mergeCell ref="N8:N11"/>
    <mergeCell ref="B5:D5"/>
    <mergeCell ref="H9:I9"/>
    <mergeCell ref="H12:I12"/>
    <mergeCell ref="J2:L2"/>
    <mergeCell ref="K5:L6"/>
    <mergeCell ref="H18:I18"/>
    <mergeCell ref="B18:D18"/>
    <mergeCell ref="A3:A6"/>
    <mergeCell ref="F6:I6"/>
    <mergeCell ref="F7:I7"/>
    <mergeCell ref="F8:I8"/>
    <mergeCell ref="B17:D17"/>
    <mergeCell ref="H16:I16"/>
    <mergeCell ref="H15:I15"/>
    <mergeCell ref="H17:I17"/>
  </mergeCells>
  <phoneticPr fontId="5" type="noConversion"/>
  <conditionalFormatting sqref="J2 C2">
    <cfRule type="cellIs" dxfId="80" priority="35" stopIfTrue="1" operator="notEqual">
      <formula>0</formula>
    </cfRule>
  </conditionalFormatting>
  <conditionalFormatting sqref="N8">
    <cfRule type="cellIs" dxfId="79" priority="29" stopIfTrue="1" operator="equal">
      <formula>$A$13</formula>
    </cfRule>
  </conditionalFormatting>
  <conditionalFormatting sqref="D2">
    <cfRule type="expression" dxfId="78" priority="7" stopIfTrue="1">
      <formula>#REF!&lt;&gt;0</formula>
    </cfRule>
  </conditionalFormatting>
  <conditionalFormatting sqref="B17:I17">
    <cfRule type="expression" dxfId="77" priority="1">
      <formula>$F$15=0</formula>
    </cfRule>
    <cfRule type="expression" dxfId="76" priority="2">
      <formula>$F$15=""</formula>
    </cfRule>
  </conditionalFormatting>
  <conditionalFormatting sqref="B18:I18">
    <cfRule type="expression" dxfId="75" priority="256">
      <formula>$F$16=0</formula>
    </cfRule>
    <cfRule type="expression" dxfId="74" priority="257">
      <formula>$F$16=""</formula>
    </cfRule>
  </conditionalFormatting>
  <conditionalFormatting sqref="F12">
    <cfRule type="cellIs" dxfId="73" priority="265" stopIfTrue="1" operator="greaterThan">
      <formula>30</formula>
    </cfRule>
  </conditionalFormatting>
  <dataValidations count="7">
    <dataValidation type="whole" allowBlank="1" showInputMessage="1" showErrorMessage="1" error="Nombre compris entre 0 et 100_x000d_Numero compreso tra 0 e 100_x000d_Número entre 0 y 100_x000d_Zahl zwischen 0 und 100_x000d_Number between 0 and 100" sqref="F15:F16">
      <formula1>0</formula1>
      <formula2>100</formula2>
    </dataValidation>
    <dataValidation type="whole" allowBlank="1" showInputMessage="1" showErrorMessage="1" error="Nombre inférieur ou égal à 15_x000d_Numero minore o uguale a 15_x000d_Número menor o igual a15_x000d_Zahl kleiner oder gleich auf 15_x000d_Number less than or equal to 15" sqref="F14">
      <formula1>1</formula1>
      <formula2>14</formula2>
    </dataValidation>
    <dataValidation type="whole" allowBlank="1" showInputMessage="1" showErrorMessage="1" error="Nombre compris entre 2 et 24_x000d_Numero compreso tra 2 e 24_x000d_Número entre 2 y 24_x000d_Zahl zwischen 2 und 24_x000d_Number between 2 and 24" sqref="F11">
      <formula1>2</formula1>
      <formula2>24</formula2>
    </dataValidation>
    <dataValidation type="whole" showInputMessage="1" showErrorMessage="1" error="Nombre inférieur ou égal à 210_x000d_Numero minore o uguale a 210_x000d_Número menor o igual a 210_x000d_Zahl kleiner oder gleich auf 210_x000d_Number less than or equal to 210" sqref="F9">
      <formula1>0</formula1>
      <formula2>210</formula2>
    </dataValidation>
    <dataValidation type="whole" allowBlank="1" showInputMessage="1" showErrorMessage="1" error="Nombre compris entre 1 et 25_x000d_Numero compreso tra 1 e 25_x000d_Número entre 1 y 25_x000d_Zahl zwischen 1 und 25_x000d_Number between 1 and 25" sqref="F12">
      <formula1>0</formula1>
      <formula2>25</formula2>
    </dataValidation>
    <dataValidation type="decimal" allowBlank="1" showInputMessage="1" showErrorMessage="1" error="Nombre inférieur ou égal à 200_x000d_Numero minore o uguale a 200_x000d_Número menor o igual a 200_x000d_Zahl kleiner oder gleich auf 200_x000d_Number less than or equal to 200" sqref="F13">
      <formula1>1</formula1>
      <formula2>150</formula2>
    </dataValidation>
    <dataValidation allowBlank="1" showInputMessage="1" showErrorMessage="1" error="Nombre inférieur ou égal à 15_x000d_Numero minore o uguale a 15_x000d_Número menor o igual a15_x000d_Zahl kleiner oder gleich auf 15_x000d_Number less than or equal to 15" sqref="F17:F18"/>
  </dataValidations>
  <pageMargins left="0.75" right="0.75" top="1" bottom="1" header="0.4921259845" footer="0.4921259845"/>
  <pageSetup paperSize="9" orientation="portrait" horizontalDpi="4294967292" verticalDpi="4294967292"/>
  <ignoredErrors>
    <ignoredError sqref="F18" unlocked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5144" r:id="rId3" name="Drop Down 24">
              <controlPr defaultSize="0" autoLine="0" autoPict="0">
                <anchor moveWithCells="1" sizeWithCells="1">
                  <from>
                    <xdr:col>9</xdr:col>
                    <xdr:colOff>447675</xdr:colOff>
                    <xdr:row>8</xdr:row>
                    <xdr:rowOff>76200</xdr:rowOff>
                  </from>
                  <to>
                    <xdr:col>12</xdr:col>
                    <xdr:colOff>104775</xdr:colOff>
                    <xdr:row>9</xdr:row>
                    <xdr:rowOff>9525</xdr:rowOff>
                  </to>
                </anchor>
              </controlPr>
            </control>
          </mc:Choice>
        </mc:AlternateContent>
        <mc:AlternateContent xmlns:mc="http://schemas.openxmlformats.org/markup-compatibility/2006">
          <mc:Choice Requires="x14">
            <control shapeId="5147" r:id="rId4" name="Drop Down 27">
              <controlPr defaultSize="0" autoLine="0" autoPict="0">
                <anchor moveWithCells="1" sizeWithCells="1">
                  <from>
                    <xdr:col>9</xdr:col>
                    <xdr:colOff>457200</xdr:colOff>
                    <xdr:row>9</xdr:row>
                    <xdr:rowOff>219075</xdr:rowOff>
                  </from>
                  <to>
                    <xdr:col>12</xdr:col>
                    <xdr:colOff>123825</xdr:colOff>
                    <xdr:row>10</xdr:row>
                    <xdr:rowOff>152400</xdr:rowOff>
                  </to>
                </anchor>
              </controlPr>
            </control>
          </mc:Choice>
        </mc:AlternateContent>
        <mc:AlternateContent xmlns:mc="http://schemas.openxmlformats.org/markup-compatibility/2006">
          <mc:Choice Requires="x14">
            <control shapeId="5148" r:id="rId5" name="Drop Down 28">
              <controlPr defaultSize="0" autoLine="0" autoPict="0">
                <anchor moveWithCells="1" sizeWithCells="1">
                  <from>
                    <xdr:col>9</xdr:col>
                    <xdr:colOff>447675</xdr:colOff>
                    <xdr:row>6</xdr:row>
                    <xdr:rowOff>180975</xdr:rowOff>
                  </from>
                  <to>
                    <xdr:col>12</xdr:col>
                    <xdr:colOff>104775</xdr:colOff>
                    <xdr:row>7</xdr:row>
                    <xdr:rowOff>114300</xdr:rowOff>
                  </to>
                </anchor>
              </controlPr>
            </control>
          </mc:Choice>
        </mc:AlternateContent>
        <mc:AlternateContent xmlns:mc="http://schemas.openxmlformats.org/markup-compatibility/2006">
          <mc:Choice Requires="x14">
            <control shapeId="5151" r:id="rId6" name="Drop Down 31">
              <controlPr defaultSize="0" autoLine="0" autoPict="0">
                <anchor moveWithCells="1" sizeWithCells="1">
                  <from>
                    <xdr:col>9</xdr:col>
                    <xdr:colOff>457200</xdr:colOff>
                    <xdr:row>11</xdr:row>
                    <xdr:rowOff>95250</xdr:rowOff>
                  </from>
                  <to>
                    <xdr:col>12</xdr:col>
                    <xdr:colOff>123825</xdr:colOff>
                    <xdr:row>12</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enableFormatConditionsCalculation="0">
    <tabColor rgb="FFFF6600"/>
    <pageSetUpPr autoPageBreaks="0"/>
  </sheetPr>
  <dimension ref="A1:AC300"/>
  <sheetViews>
    <sheetView showGridLines="0" showRowColHeaders="0" showOutlineSymbols="0" zoomScale="90" zoomScaleNormal="90" zoomScalePageLayoutView="120" workbookViewId="0">
      <selection activeCell="B1" sqref="B1:R1"/>
    </sheetView>
  </sheetViews>
  <sheetFormatPr baseColWidth="10" defaultColWidth="0" defaultRowHeight="12.75" zeroHeight="1" x14ac:dyDescent="0.2"/>
  <cols>
    <col min="1" max="1" width="2.140625" style="38" customWidth="1"/>
    <col min="2" max="2" width="26.28515625" style="38" customWidth="1"/>
    <col min="3" max="3" width="10.85546875" style="38" customWidth="1"/>
    <col min="4" max="4" width="13.140625" style="38" customWidth="1"/>
    <col min="5" max="5" width="10.85546875" style="285" customWidth="1"/>
    <col min="6" max="6" width="13.42578125" style="286" customWidth="1"/>
    <col min="7" max="7" width="4.7109375" style="286" customWidth="1"/>
    <col min="8" max="8" width="13.42578125" style="287" customWidth="1"/>
    <col min="9" max="9" width="4.7109375" style="287" customWidth="1"/>
    <col min="10" max="10" width="13.85546875" style="286" customWidth="1"/>
    <col min="11" max="11" width="4.7109375" style="286" customWidth="1"/>
    <col min="12" max="12" width="12.85546875" style="286" customWidth="1"/>
    <col min="13" max="13" width="4.7109375" style="286" customWidth="1"/>
    <col min="14" max="14" width="13.140625" style="286" customWidth="1"/>
    <col min="15" max="15" width="14.7109375" style="38" customWidth="1"/>
    <col min="16" max="16" width="4.7109375" style="38" customWidth="1"/>
    <col min="17" max="17" width="11.42578125" style="38" customWidth="1"/>
    <col min="18" max="18" width="11.42578125" style="269" customWidth="1"/>
    <col min="19" max="19" width="4.7109375" style="269" customWidth="1"/>
    <col min="20" max="29" width="11.42578125" style="269" customWidth="1"/>
    <col min="30" max="16384" width="0" style="38" hidden="1"/>
  </cols>
  <sheetData>
    <row r="1" spans="1:29" ht="27.95" customHeight="1" x14ac:dyDescent="0.2">
      <c r="A1" s="419"/>
      <c r="B1" s="437" t="str">
        <f>'C-L'!CX1</f>
        <v>book 26-1</v>
      </c>
      <c r="C1" s="437"/>
      <c r="D1" s="437"/>
      <c r="E1" s="437"/>
      <c r="F1" s="437"/>
      <c r="G1" s="437"/>
      <c r="H1" s="437"/>
      <c r="I1" s="437"/>
      <c r="J1" s="437"/>
      <c r="K1" s="437"/>
      <c r="L1" s="437"/>
      <c r="M1" s="437"/>
      <c r="N1" s="437"/>
      <c r="O1" s="437"/>
      <c r="P1" s="437"/>
      <c r="Q1" s="437"/>
      <c r="R1" s="437"/>
      <c r="S1" s="419"/>
      <c r="T1" s="417"/>
      <c r="U1" s="417"/>
      <c r="V1" s="417"/>
      <c r="W1" s="417"/>
      <c r="X1" s="417"/>
      <c r="Y1" s="417"/>
      <c r="Z1" s="417"/>
      <c r="AA1" s="417"/>
      <c r="AB1" s="417"/>
      <c r="AC1" s="417"/>
    </row>
    <row r="2" spans="1:29" ht="27.95" customHeight="1" x14ac:dyDescent="0.2">
      <c r="A2" s="43"/>
      <c r="B2" s="265"/>
      <c r="C2" s="265"/>
      <c r="D2" s="265"/>
      <c r="E2" s="266"/>
      <c r="F2" s="446" t="str">
        <f>'C-P'!E38</f>
        <v>ATTENTION: Incomplete, excessive or wrong entry</v>
      </c>
      <c r="G2" s="446"/>
      <c r="H2" s="446"/>
      <c r="I2" s="446"/>
      <c r="J2" s="446"/>
      <c r="K2" s="446"/>
      <c r="L2" s="446"/>
      <c r="M2" s="415"/>
      <c r="N2" s="415"/>
      <c r="O2" s="43"/>
      <c r="P2" s="43"/>
      <c r="Q2" s="43"/>
      <c r="R2" s="43"/>
      <c r="S2" s="43"/>
      <c r="T2" s="43"/>
      <c r="U2" s="43"/>
      <c r="V2" s="43"/>
      <c r="W2" s="43"/>
      <c r="X2" s="43"/>
      <c r="Y2" s="43"/>
      <c r="Z2" s="43"/>
      <c r="AA2" s="43"/>
      <c r="AB2" s="43"/>
      <c r="AC2" s="43"/>
    </row>
    <row r="3" spans="1:29" ht="22.5" customHeight="1" x14ac:dyDescent="0.2">
      <c r="A3" s="43"/>
      <c r="B3" s="267"/>
      <c r="C3" s="448" t="str">
        <f>'C-L'!BS1</f>
        <v>Line description</v>
      </c>
      <c r="D3" s="448"/>
      <c r="E3" s="448"/>
      <c r="F3" s="448"/>
      <c r="G3" s="448"/>
      <c r="H3" s="448"/>
      <c r="I3" s="448"/>
      <c r="J3" s="448"/>
      <c r="K3" s="448"/>
      <c r="L3" s="448"/>
      <c r="M3" s="448"/>
      <c r="N3" s="268"/>
      <c r="O3" s="438" t="str">
        <f>'C-L'!BW1</f>
        <v>For a repetitive span data entry use the lower brown cell</v>
      </c>
      <c r="P3" s="43"/>
      <c r="Q3" s="438" t="str">
        <f>'C-L'!BX1</f>
        <v>For a different span data entry use the lower grey cells</v>
      </c>
      <c r="R3" s="438"/>
      <c r="S3" s="43"/>
      <c r="T3" s="232"/>
      <c r="U3" s="43"/>
      <c r="V3" s="43"/>
      <c r="W3" s="43"/>
      <c r="X3" s="43"/>
      <c r="Y3" s="43"/>
      <c r="Z3" s="43"/>
      <c r="AA3" s="43"/>
      <c r="AB3" s="43"/>
      <c r="AC3" s="43"/>
    </row>
    <row r="4" spans="1:29" ht="107.25" customHeight="1" x14ac:dyDescent="0.2">
      <c r="A4" s="43"/>
      <c r="B4" s="267"/>
      <c r="C4" s="11" t="str">
        <f>'C-L'!U1</f>
        <v>Number of the tower at the start of the span</v>
      </c>
      <c r="D4" s="11" t="str">
        <f>'C-L'!W1</f>
        <v>Number of the span</v>
      </c>
      <c r="E4" s="117" t="str">
        <f>'C-L'!Z1</f>
        <v>Span inclined length</v>
      </c>
      <c r="F4" s="114" t="str">
        <f>"T1"&amp;"
"&amp;'C-L'!AD1</f>
        <v>T1
Access time to the tower and to arrive to the first vehicle</v>
      </c>
      <c r="G4" s="114"/>
      <c r="H4" s="114" t="str">
        <f>"T2"&amp;"
"&amp;'C-L'!AE1</f>
        <v>T2
Average time to evacuate a full vehicle and to go to the next one</v>
      </c>
      <c r="I4" s="114"/>
      <c r="J4" s="114" t="str">
        <f>"T3"&amp;"
"&amp;'C-L'!AF1</f>
        <v>T3
Time to cross a tower between two vehicles of the same section</v>
      </c>
      <c r="K4" s="114"/>
      <c r="L4" s="114" t="str">
        <f>"T4"&amp;"
"&amp;'C-L'!AG1</f>
        <v>T4
Maximum time to bring back the last passenger to a safe place</v>
      </c>
      <c r="M4" s="114"/>
      <c r="N4" s="113"/>
      <c r="O4" s="438"/>
      <c r="P4" s="43"/>
      <c r="Q4" s="438"/>
      <c r="R4" s="438"/>
      <c r="S4" s="43"/>
      <c r="T4" s="232"/>
      <c r="U4" s="232"/>
      <c r="V4" s="43"/>
      <c r="W4" s="43"/>
      <c r="X4" s="43"/>
      <c r="Y4" s="43"/>
      <c r="Z4" s="43"/>
      <c r="AA4" s="43"/>
      <c r="AB4" s="43"/>
      <c r="AC4" s="43"/>
    </row>
    <row r="5" spans="1:29" ht="22.5" customHeight="1" x14ac:dyDescent="0.2">
      <c r="A5" s="43"/>
      <c r="B5" s="267"/>
      <c r="C5" s="11"/>
      <c r="D5" s="11"/>
      <c r="E5" s="117"/>
      <c r="F5" s="114"/>
      <c r="G5" s="114"/>
      <c r="H5" s="70"/>
      <c r="I5" s="70"/>
      <c r="J5" s="70"/>
      <c r="K5" s="70"/>
      <c r="L5" s="114"/>
      <c r="M5" s="114"/>
      <c r="N5" s="113"/>
      <c r="O5" s="232"/>
      <c r="P5" s="43"/>
      <c r="Q5" s="447" t="str">
        <f>'C-L'!BM1</f>
        <v>Values comming from operators experience and control agencies</v>
      </c>
      <c r="R5" s="447"/>
      <c r="S5" s="43"/>
      <c r="T5" s="232"/>
      <c r="U5" s="232"/>
      <c r="V5" s="43"/>
      <c r="W5" s="43"/>
      <c r="X5" s="43"/>
      <c r="Y5" s="43"/>
      <c r="Z5" s="43"/>
      <c r="AA5" s="43"/>
      <c r="AB5" s="43"/>
      <c r="AC5" s="43"/>
    </row>
    <row r="6" spans="1:29" ht="21" customHeight="1" x14ac:dyDescent="0.2">
      <c r="A6" s="43"/>
      <c r="B6" s="267"/>
      <c r="C6" s="11"/>
      <c r="D6" s="11"/>
      <c r="E6" s="117"/>
      <c r="F6" s="114"/>
      <c r="G6" s="114"/>
      <c r="H6" s="404"/>
      <c r="I6" s="412" t="str">
        <f>IF(H6="","",'C-L'!$AR$1)</f>
        <v/>
      </c>
      <c r="J6" s="404"/>
      <c r="K6" s="412" t="str">
        <f>IF(J6="","",'C-L'!$AR$1)</f>
        <v/>
      </c>
      <c r="L6" s="114"/>
      <c r="M6" s="114"/>
      <c r="N6" s="288"/>
      <c r="O6" s="232"/>
      <c r="P6" s="43"/>
      <c r="Q6" s="447"/>
      <c r="R6" s="447"/>
      <c r="S6" s="43"/>
      <c r="T6" s="232"/>
      <c r="U6" s="232"/>
      <c r="V6" s="43"/>
      <c r="W6" s="43"/>
      <c r="X6" s="43"/>
      <c r="Y6" s="43"/>
      <c r="Z6" s="43"/>
      <c r="AA6" s="43"/>
      <c r="AB6" s="43"/>
      <c r="AC6" s="43"/>
    </row>
    <row r="7" spans="1:29" ht="22.5" customHeight="1" x14ac:dyDescent="0.2">
      <c r="A7" s="43"/>
      <c r="B7" s="267"/>
      <c r="C7" s="54"/>
      <c r="D7" s="54"/>
      <c r="E7" s="234" t="str">
        <f>IF(COUNTA(E8:E33)-1=NBPylône,E41,E42)</f>
        <v>Wrong entry</v>
      </c>
      <c r="F7" s="234" t="str">
        <f>IF(COUNTA(F8:F33)-1=NBPylône,E41,E42)</f>
        <v>Wrong entry</v>
      </c>
      <c r="G7" s="376"/>
      <c r="H7" s="234" t="str">
        <f>IF(OR(AND(S_TempsEvacuationVehicule=1,COUNTA(H8:H33)=0,H6&lt;&gt;""),AND(S_TempsEvacuationVehicule=2,H6="",COUNTA(H8:H33)-1=NBPylône)),E41,E42)</f>
        <v>Wrong entry</v>
      </c>
      <c r="I7" s="376"/>
      <c r="J7" s="234" t="str">
        <f>IF(OR(AND(S_TempsAccèsPortéeSuivante=1,COUNTA(J8:J33)=0,J6&lt;&gt;""),AND(S_TempsAccèsPortéeSuivante=2,J6="",COUNTA(J8:J33)-1=NBPylône)),E41,E42)</f>
        <v>Wrong entry</v>
      </c>
      <c r="K7" s="376"/>
      <c r="L7" s="234" t="str">
        <f>IF(COUNTA(L8:L33)-1=NBPylône,E41,E42)</f>
        <v>Wrong entry</v>
      </c>
      <c r="M7" s="376"/>
      <c r="N7" s="113"/>
      <c r="O7" s="232"/>
      <c r="P7" s="43"/>
      <c r="Q7" s="447"/>
      <c r="R7" s="447"/>
      <c r="S7" s="43"/>
      <c r="T7" s="232"/>
      <c r="U7" s="232"/>
      <c r="V7" s="43"/>
      <c r="W7" s="43"/>
      <c r="X7" s="43"/>
      <c r="Y7" s="43"/>
      <c r="Z7" s="43"/>
      <c r="AA7" s="43"/>
      <c r="AB7" s="43"/>
      <c r="AC7" s="43"/>
    </row>
    <row r="8" spans="1:29" ht="12" customHeight="1" x14ac:dyDescent="0.2">
      <c r="A8" s="43"/>
      <c r="B8" s="54" t="str">
        <f>IF(C8=NomG2,'C-L'!$AO$1,IF(C8=NomG1,'C-L'!$AN$1,IF(C8="",1,"")))</f>
        <v>Top station</v>
      </c>
      <c r="C8" s="414" t="str">
        <f>'C-P'!R3</f>
        <v>G2</v>
      </c>
      <c r="D8" s="413" t="str">
        <f>IF(COUNTA('     1-DG     '!F9:F16)=8,C8&amp;" -&gt; "&amp;C9,"")</f>
        <v/>
      </c>
      <c r="E8" s="407"/>
      <c r="F8" s="405"/>
      <c r="G8" s="409" t="str">
        <f>IF(F8="","",'C-L'!$AR$1)</f>
        <v/>
      </c>
      <c r="H8" s="410"/>
      <c r="I8" s="409" t="str">
        <f>IF(H8="","",'C-L'!$AR$1)</f>
        <v/>
      </c>
      <c r="J8" s="410"/>
      <c r="K8" s="409" t="str">
        <f>IF(J8="","",'C-L'!$AR$1)</f>
        <v/>
      </c>
      <c r="L8" s="405"/>
      <c r="M8" s="411" t="str">
        <f>IF(L8="","",'C-L'!$AR$1)</f>
        <v/>
      </c>
      <c r="N8" s="36"/>
      <c r="O8" s="438" t="str">
        <f>'C-L'!$BO$1</f>
        <v>Be aware: your case will never be the same as ours</v>
      </c>
      <c r="P8" s="43"/>
      <c r="Q8" s="43"/>
      <c r="R8" s="43"/>
      <c r="S8" s="43"/>
      <c r="T8" s="232"/>
      <c r="U8" s="232"/>
      <c r="V8" s="43"/>
      <c r="W8" s="43"/>
      <c r="X8" s="43"/>
      <c r="Y8" s="43"/>
      <c r="Z8" s="43"/>
      <c r="AA8" s="43"/>
      <c r="AB8" s="43"/>
      <c r="AC8" s="43"/>
    </row>
    <row r="9" spans="1:29" ht="12" customHeight="1" x14ac:dyDescent="0.2">
      <c r="A9" s="43"/>
      <c r="B9" s="54" t="str">
        <f>IF(C9=NomG2,'C-L'!$AO$1,IF(C9=NomG1,'C-L'!$AN$1,IF(C9="",1,"")))</f>
        <v>Lower station</v>
      </c>
      <c r="C9" s="414" t="str">
        <f>'C-P'!R4</f>
        <v>G1</v>
      </c>
      <c r="D9" s="413" t="str">
        <f t="shared" ref="D9:D33" si="0">IF(C9=NomG1,"",IF(C9="","",C9&amp;" -&gt; "&amp;C10))</f>
        <v/>
      </c>
      <c r="E9" s="407"/>
      <c r="F9" s="405"/>
      <c r="G9" s="409" t="str">
        <f>IF(F9="","",'C-L'!$AR$1)</f>
        <v/>
      </c>
      <c r="H9" s="410"/>
      <c r="I9" s="409" t="str">
        <f>IF(H9="","",'C-L'!$AR$1)</f>
        <v/>
      </c>
      <c r="J9" s="406"/>
      <c r="K9" s="409" t="str">
        <f>IF(J9="","",'C-L'!$AR$1)</f>
        <v/>
      </c>
      <c r="L9" s="405"/>
      <c r="M9" s="411" t="str">
        <f>IF(L9="","",'C-L'!$AR$1)</f>
        <v/>
      </c>
      <c r="N9" s="36"/>
      <c r="O9" s="438"/>
      <c r="P9" s="43"/>
      <c r="Q9" s="43"/>
      <c r="R9" s="43"/>
      <c r="S9" s="43"/>
      <c r="T9" s="232"/>
      <c r="U9" s="43"/>
      <c r="V9" s="43"/>
      <c r="W9" s="43"/>
      <c r="X9" s="43"/>
      <c r="Y9" s="43"/>
      <c r="Z9" s="43"/>
      <c r="AA9" s="43"/>
      <c r="AB9" s="43"/>
      <c r="AC9" s="43"/>
    </row>
    <row r="10" spans="1:29" ht="12" customHeight="1" x14ac:dyDescent="0.2">
      <c r="A10" s="43"/>
      <c r="B10" s="54">
        <f>IF(C10=NomG2,'C-L'!$AO$1,IF(C10=NomG1,'C-L'!$AN$1,IF(C10="",1,"")))</f>
        <v>1</v>
      </c>
      <c r="C10" s="414" t="str">
        <f>'C-P'!R5</f>
        <v/>
      </c>
      <c r="D10" s="413" t="str">
        <f t="shared" si="0"/>
        <v/>
      </c>
      <c r="E10" s="407"/>
      <c r="F10" s="405"/>
      <c r="G10" s="409" t="str">
        <f>IF(F10="","",'C-L'!$AR$1)</f>
        <v/>
      </c>
      <c r="H10" s="406"/>
      <c r="I10" s="409" t="str">
        <f>IF(H10="","",'C-L'!$AR$1)</f>
        <v/>
      </c>
      <c r="J10" s="406"/>
      <c r="K10" s="409" t="str">
        <f>IF(J10="","",'C-L'!$AR$1)</f>
        <v/>
      </c>
      <c r="L10" s="405"/>
      <c r="M10" s="411" t="str">
        <f>IF(L10="","",'C-L'!$AR$1)</f>
        <v/>
      </c>
      <c r="N10" s="36"/>
      <c r="O10" s="438"/>
      <c r="P10" s="43"/>
      <c r="Q10" s="43"/>
      <c r="R10" s="43"/>
      <c r="S10" s="43"/>
      <c r="T10" s="232"/>
      <c r="U10" s="43"/>
      <c r="V10" s="43"/>
      <c r="W10" s="43"/>
      <c r="X10" s="43"/>
      <c r="Y10" s="43"/>
      <c r="Z10" s="43"/>
      <c r="AA10" s="43"/>
      <c r="AB10" s="43"/>
      <c r="AC10" s="43"/>
    </row>
    <row r="11" spans="1:29" s="269" customFormat="1" ht="12" customHeight="1" x14ac:dyDescent="0.2">
      <c r="A11" s="43"/>
      <c r="B11" s="54">
        <f>IF(C11=NomG2,'C-L'!$AO$1,IF(C11=NomG1,'C-L'!$AN$1,IF(C11="",1,"")))</f>
        <v>1</v>
      </c>
      <c r="C11" s="414" t="str">
        <f>'C-P'!R6</f>
        <v/>
      </c>
      <c r="D11" s="413" t="str">
        <f t="shared" si="0"/>
        <v/>
      </c>
      <c r="E11" s="407"/>
      <c r="F11" s="405"/>
      <c r="G11" s="409" t="str">
        <f>IF(F11="","",'C-L'!$AR$1)</f>
        <v/>
      </c>
      <c r="H11" s="406"/>
      <c r="I11" s="409" t="str">
        <f>IF(H11="","",'C-L'!$AR$1)</f>
        <v/>
      </c>
      <c r="J11" s="406"/>
      <c r="K11" s="409" t="str">
        <f>IF(J11="","",'C-L'!$AR$1)</f>
        <v/>
      </c>
      <c r="L11" s="405"/>
      <c r="M11" s="411" t="str">
        <f>IF(L11="","",'C-L'!$AR$1)</f>
        <v/>
      </c>
      <c r="N11" s="36"/>
      <c r="O11" s="438"/>
      <c r="P11" s="43"/>
      <c r="Q11" s="43"/>
      <c r="R11" s="43"/>
      <c r="S11" s="43"/>
      <c r="T11" s="43"/>
      <c r="U11" s="43"/>
      <c r="V11" s="43"/>
      <c r="W11" s="43"/>
      <c r="X11" s="43"/>
      <c r="Y11" s="43"/>
      <c r="Z11" s="43"/>
      <c r="AA11" s="43"/>
      <c r="AB11" s="43"/>
      <c r="AC11" s="43"/>
    </row>
    <row r="12" spans="1:29" s="269" customFormat="1" ht="12" customHeight="1" x14ac:dyDescent="0.2">
      <c r="A12" s="270"/>
      <c r="B12" s="54">
        <f>IF(C12=NomG2,'C-L'!$AO$1,IF(C12=NomG1,'C-L'!$AN$1,IF(C12="",1,"")))</f>
        <v>1</v>
      </c>
      <c r="C12" s="414" t="str">
        <f>'C-P'!R7</f>
        <v/>
      </c>
      <c r="D12" s="413" t="str">
        <f t="shared" si="0"/>
        <v/>
      </c>
      <c r="E12" s="407"/>
      <c r="F12" s="405"/>
      <c r="G12" s="409" t="str">
        <f>IF(F12="","",'C-L'!$AR$1)</f>
        <v/>
      </c>
      <c r="H12" s="406"/>
      <c r="I12" s="409" t="str">
        <f>IF(H12="","",'C-L'!$AR$1)</f>
        <v/>
      </c>
      <c r="J12" s="406"/>
      <c r="K12" s="409" t="str">
        <f>IF(J12="","",'C-L'!$AR$1)</f>
        <v/>
      </c>
      <c r="L12" s="405"/>
      <c r="M12" s="411" t="str">
        <f>IF(L12="","",'C-L'!$AR$1)</f>
        <v/>
      </c>
      <c r="N12" s="36"/>
      <c r="O12" s="438"/>
      <c r="P12" s="43"/>
      <c r="Q12" s="43"/>
      <c r="R12" s="43"/>
      <c r="S12" s="43"/>
      <c r="T12" s="43"/>
      <c r="U12" s="43"/>
      <c r="V12" s="43"/>
      <c r="W12" s="43"/>
      <c r="X12" s="43"/>
      <c r="Y12" s="43"/>
      <c r="Z12" s="43"/>
      <c r="AA12" s="43"/>
      <c r="AB12" s="43"/>
      <c r="AC12" s="43"/>
    </row>
    <row r="13" spans="1:29" s="272" customFormat="1" ht="12" customHeight="1" x14ac:dyDescent="0.2">
      <c r="A13" s="271"/>
      <c r="B13" s="54">
        <f>IF(C13=NomG2,'C-L'!$AO$1,IF(C13=NomG1,'C-L'!$AN$1,IF(C13="",1,"")))</f>
        <v>1</v>
      </c>
      <c r="C13" s="414" t="str">
        <f>'C-P'!R8</f>
        <v/>
      </c>
      <c r="D13" s="413" t="str">
        <f t="shared" si="0"/>
        <v/>
      </c>
      <c r="E13" s="407"/>
      <c r="F13" s="405"/>
      <c r="G13" s="409" t="str">
        <f>IF(F13="","",'C-L'!$AR$1)</f>
        <v/>
      </c>
      <c r="H13" s="406"/>
      <c r="I13" s="409" t="str">
        <f>IF(H13="","",'C-L'!$AR$1)</f>
        <v/>
      </c>
      <c r="J13" s="406"/>
      <c r="K13" s="409" t="str">
        <f>IF(J13="","",'C-L'!$AR$1)</f>
        <v/>
      </c>
      <c r="L13" s="405"/>
      <c r="M13" s="411" t="str">
        <f>IF(L13="","",'C-L'!$AR$1)</f>
        <v/>
      </c>
      <c r="N13" s="36"/>
      <c r="O13" s="438"/>
      <c r="P13" s="43"/>
      <c r="Q13" s="43"/>
      <c r="R13" s="43"/>
      <c r="S13" s="43"/>
      <c r="T13" s="271"/>
      <c r="U13" s="271"/>
      <c r="V13" s="271"/>
      <c r="W13" s="271"/>
      <c r="X13" s="271"/>
      <c r="Y13" s="271"/>
      <c r="Z13" s="271"/>
      <c r="AA13" s="271"/>
      <c r="AB13" s="271"/>
      <c r="AC13" s="271"/>
    </row>
    <row r="14" spans="1:29" s="272" customFormat="1" ht="12" customHeight="1" x14ac:dyDescent="0.2">
      <c r="A14" s="271"/>
      <c r="B14" s="54">
        <f>IF(C14=NomG2,'C-L'!$AO$1,IF(C14=NomG1,'C-L'!$AN$1,IF(C14="",1,"")))</f>
        <v>1</v>
      </c>
      <c r="C14" s="414" t="str">
        <f>'C-P'!R9</f>
        <v/>
      </c>
      <c r="D14" s="413" t="str">
        <f t="shared" si="0"/>
        <v/>
      </c>
      <c r="E14" s="407"/>
      <c r="F14" s="405"/>
      <c r="G14" s="409" t="str">
        <f>IF(F14="","",'C-L'!$AR$1)</f>
        <v/>
      </c>
      <c r="H14" s="406"/>
      <c r="I14" s="409" t="str">
        <f>IF(H14="","",'C-L'!$AR$1)</f>
        <v/>
      </c>
      <c r="J14" s="406"/>
      <c r="K14" s="409" t="str">
        <f>IF(J14="","",'C-L'!$AR$1)</f>
        <v/>
      </c>
      <c r="L14" s="405"/>
      <c r="M14" s="411" t="str">
        <f>IF(L14="","",'C-L'!$AR$1)</f>
        <v/>
      </c>
      <c r="N14" s="36"/>
      <c r="O14" s="232"/>
      <c r="P14" s="43"/>
      <c r="Q14" s="43"/>
      <c r="R14" s="43"/>
      <c r="S14" s="43"/>
      <c r="T14" s="271"/>
      <c r="U14" s="271"/>
      <c r="V14" s="271"/>
      <c r="W14" s="271"/>
      <c r="X14" s="271"/>
      <c r="Y14" s="271"/>
      <c r="Z14" s="271"/>
      <c r="AA14" s="271"/>
      <c r="AB14" s="271"/>
      <c r="AC14" s="271"/>
    </row>
    <row r="15" spans="1:29" s="272" customFormat="1" ht="12" customHeight="1" x14ac:dyDescent="0.2">
      <c r="A15" s="271"/>
      <c r="B15" s="54">
        <f>IF(C15=NomG2,'C-L'!$AO$1,IF(C15=NomG1,'C-L'!$AN$1,IF(C15="",1,"")))</f>
        <v>1</v>
      </c>
      <c r="C15" s="414" t="str">
        <f>'C-P'!R10</f>
        <v/>
      </c>
      <c r="D15" s="413" t="str">
        <f t="shared" si="0"/>
        <v/>
      </c>
      <c r="E15" s="407"/>
      <c r="F15" s="405"/>
      <c r="G15" s="409" t="str">
        <f>IF(F15="","",'C-L'!$AR$1)</f>
        <v/>
      </c>
      <c r="H15" s="406"/>
      <c r="I15" s="409" t="str">
        <f>IF(H15="","",'C-L'!$AR$1)</f>
        <v/>
      </c>
      <c r="J15" s="406"/>
      <c r="K15" s="409" t="str">
        <f>IF(J15="","",'C-L'!$AR$1)</f>
        <v/>
      </c>
      <c r="L15" s="405"/>
      <c r="M15" s="411" t="str">
        <f>IF(L15="","",'C-L'!$AR$1)</f>
        <v/>
      </c>
      <c r="N15" s="36"/>
      <c r="O15" s="232"/>
      <c r="P15" s="43"/>
      <c r="Q15" s="43"/>
      <c r="R15" s="43"/>
      <c r="S15" s="43"/>
      <c r="T15" s="271"/>
      <c r="U15" s="271"/>
      <c r="V15" s="271"/>
      <c r="W15" s="271"/>
      <c r="X15" s="271"/>
      <c r="Y15" s="271"/>
      <c r="Z15" s="271"/>
      <c r="AA15" s="271"/>
      <c r="AB15" s="271"/>
      <c r="AC15" s="271"/>
    </row>
    <row r="16" spans="1:29" s="269" customFormat="1" ht="12" customHeight="1" x14ac:dyDescent="0.2">
      <c r="A16" s="43"/>
      <c r="B16" s="54">
        <f>IF(C16=NomG2,'C-L'!$AO$1,IF(C16=NomG1,'C-L'!$AN$1,IF(C16="",1,"")))</f>
        <v>1</v>
      </c>
      <c r="C16" s="414" t="str">
        <f>'C-P'!R11</f>
        <v/>
      </c>
      <c r="D16" s="413" t="str">
        <f t="shared" si="0"/>
        <v/>
      </c>
      <c r="E16" s="407"/>
      <c r="F16" s="405"/>
      <c r="G16" s="409" t="str">
        <f>IF(F16="","",'C-L'!$AR$1)</f>
        <v/>
      </c>
      <c r="H16" s="406"/>
      <c r="I16" s="409" t="str">
        <f>IF(H16="","",'C-L'!$AR$1)</f>
        <v/>
      </c>
      <c r="J16" s="406"/>
      <c r="K16" s="409" t="str">
        <f>IF(J16="","",'C-L'!$AR$1)</f>
        <v/>
      </c>
      <c r="L16" s="405"/>
      <c r="M16" s="411" t="str">
        <f>IF(L16="","",'C-L'!$AR$1)</f>
        <v/>
      </c>
      <c r="N16" s="36"/>
      <c r="O16" s="232"/>
      <c r="P16" s="43"/>
      <c r="Q16" s="43"/>
      <c r="R16" s="43"/>
      <c r="S16" s="43"/>
      <c r="T16" s="43"/>
      <c r="U16" s="43"/>
      <c r="V16" s="43"/>
      <c r="W16" s="43"/>
      <c r="X16" s="43"/>
      <c r="Y16" s="43"/>
      <c r="Z16" s="43"/>
      <c r="AA16" s="43"/>
      <c r="AB16" s="43"/>
      <c r="AC16" s="43"/>
    </row>
    <row r="17" spans="1:29" s="269" customFormat="1" ht="12" customHeight="1" x14ac:dyDescent="0.2">
      <c r="A17" s="43"/>
      <c r="B17" s="54">
        <f>IF(C17=NomG2,'C-L'!$AO$1,IF(C17=NomG1,'C-L'!$AN$1,IF(C17="",1,"")))</f>
        <v>1</v>
      </c>
      <c r="C17" s="414" t="str">
        <f>'C-P'!R12</f>
        <v/>
      </c>
      <c r="D17" s="413" t="str">
        <f t="shared" si="0"/>
        <v/>
      </c>
      <c r="E17" s="407"/>
      <c r="F17" s="405"/>
      <c r="G17" s="409" t="str">
        <f>IF(F17="","",'C-L'!$AR$1)</f>
        <v/>
      </c>
      <c r="H17" s="406"/>
      <c r="I17" s="409" t="str">
        <f>IF(H17="","",'C-L'!$AR$1)</f>
        <v/>
      </c>
      <c r="J17" s="406"/>
      <c r="K17" s="409" t="str">
        <f>IF(J17="","",'C-L'!$AR$1)</f>
        <v/>
      </c>
      <c r="L17" s="405"/>
      <c r="M17" s="411" t="str">
        <f>IF(L17="","",'C-L'!$AR$1)</f>
        <v/>
      </c>
      <c r="N17" s="36"/>
      <c r="O17" s="232"/>
      <c r="P17" s="43"/>
      <c r="Q17" s="43"/>
      <c r="R17" s="43"/>
      <c r="S17" s="43"/>
      <c r="T17" s="43"/>
      <c r="U17" s="43"/>
      <c r="V17" s="43"/>
      <c r="W17" s="43"/>
      <c r="X17" s="43"/>
      <c r="Y17" s="43"/>
      <c r="Z17" s="43"/>
      <c r="AA17" s="43"/>
      <c r="AB17" s="43"/>
      <c r="AC17" s="43"/>
    </row>
    <row r="18" spans="1:29" s="269" customFormat="1" ht="12" customHeight="1" x14ac:dyDescent="0.2">
      <c r="A18" s="43"/>
      <c r="B18" s="54">
        <f>IF(C18=NomG2,'C-L'!$AO$1,IF(C18=NomG1,'C-L'!$AN$1,IF(C18="",1,"")))</f>
        <v>1</v>
      </c>
      <c r="C18" s="414" t="str">
        <f>'C-P'!R13</f>
        <v/>
      </c>
      <c r="D18" s="413" t="str">
        <f t="shared" si="0"/>
        <v/>
      </c>
      <c r="E18" s="407"/>
      <c r="F18" s="405"/>
      <c r="G18" s="409" t="str">
        <f>IF(F18="","",'C-L'!$AR$1)</f>
        <v/>
      </c>
      <c r="H18" s="406"/>
      <c r="I18" s="409" t="str">
        <f>IF(H18="","",'C-L'!$AR$1)</f>
        <v/>
      </c>
      <c r="J18" s="406"/>
      <c r="K18" s="409" t="str">
        <f>IF(J18="","",'C-L'!$AR$1)</f>
        <v/>
      </c>
      <c r="L18" s="405"/>
      <c r="M18" s="411" t="str">
        <f>IF(L18="","",'C-L'!$AR$1)</f>
        <v/>
      </c>
      <c r="N18" s="36"/>
      <c r="O18" s="232"/>
      <c r="P18" s="43"/>
      <c r="Q18" s="43"/>
      <c r="R18" s="43"/>
      <c r="S18" s="43"/>
      <c r="T18" s="43"/>
      <c r="U18" s="43"/>
      <c r="V18" s="43"/>
      <c r="W18" s="43"/>
      <c r="X18" s="43"/>
      <c r="Y18" s="43"/>
      <c r="Z18" s="43"/>
      <c r="AA18" s="43"/>
      <c r="AB18" s="43"/>
      <c r="AC18" s="43"/>
    </row>
    <row r="19" spans="1:29" s="269" customFormat="1" ht="12" customHeight="1" x14ac:dyDescent="0.2">
      <c r="A19" s="43"/>
      <c r="B19" s="54">
        <f>IF(C19=NomG2,'C-L'!$AO$1,IF(C19=NomG1,'C-L'!$AN$1,IF(C19="",1,"")))</f>
        <v>1</v>
      </c>
      <c r="C19" s="414" t="str">
        <f>'C-P'!R14</f>
        <v/>
      </c>
      <c r="D19" s="413" t="str">
        <f t="shared" si="0"/>
        <v/>
      </c>
      <c r="E19" s="407"/>
      <c r="F19" s="405"/>
      <c r="G19" s="409" t="str">
        <f>IF(F19="","",'C-L'!$AR$1)</f>
        <v/>
      </c>
      <c r="H19" s="406"/>
      <c r="I19" s="409" t="str">
        <f>IF(H19="","",'C-L'!$AR$1)</f>
        <v/>
      </c>
      <c r="J19" s="406"/>
      <c r="K19" s="409" t="str">
        <f>IF(J19="","",'C-L'!$AR$1)</f>
        <v/>
      </c>
      <c r="L19" s="405"/>
      <c r="M19" s="411" t="str">
        <f>IF(L19="","",'C-L'!$AR$1)</f>
        <v/>
      </c>
      <c r="N19" s="36"/>
      <c r="O19" s="232"/>
      <c r="P19" s="43"/>
      <c r="Q19" s="43"/>
      <c r="R19" s="43"/>
      <c r="S19" s="43"/>
      <c r="T19" s="43"/>
      <c r="U19" s="43"/>
      <c r="V19" s="43"/>
      <c r="W19" s="43"/>
      <c r="X19" s="43"/>
      <c r="Y19" s="43"/>
      <c r="Z19" s="43"/>
      <c r="AA19" s="43"/>
      <c r="AB19" s="43"/>
      <c r="AC19" s="43"/>
    </row>
    <row r="20" spans="1:29" s="269" customFormat="1" ht="12" customHeight="1" x14ac:dyDescent="0.2">
      <c r="A20" s="43"/>
      <c r="B20" s="54">
        <f>IF(C20=NomG2,'C-L'!$AO$1,IF(C20=NomG1,'C-L'!$AN$1,IF(C20="",1,"")))</f>
        <v>1</v>
      </c>
      <c r="C20" s="414" t="str">
        <f>'C-P'!R15</f>
        <v/>
      </c>
      <c r="D20" s="413" t="str">
        <f t="shared" si="0"/>
        <v/>
      </c>
      <c r="E20" s="407"/>
      <c r="F20" s="405"/>
      <c r="G20" s="409" t="str">
        <f>IF(F20="","",'C-L'!$AR$1)</f>
        <v/>
      </c>
      <c r="H20" s="406"/>
      <c r="I20" s="409" t="str">
        <f>IF(H20="","",'C-L'!$AR$1)</f>
        <v/>
      </c>
      <c r="J20" s="406"/>
      <c r="K20" s="409" t="str">
        <f>IF(J20="","",'C-L'!$AR$1)</f>
        <v/>
      </c>
      <c r="L20" s="405"/>
      <c r="M20" s="411" t="str">
        <f>IF(L20="","",'C-L'!$AR$1)</f>
        <v/>
      </c>
      <c r="N20" s="36"/>
      <c r="O20" s="232"/>
      <c r="P20" s="43"/>
      <c r="Q20" s="43"/>
      <c r="R20" s="232"/>
      <c r="S20" s="43"/>
      <c r="T20" s="43"/>
      <c r="U20" s="43"/>
      <c r="V20" s="43"/>
      <c r="W20" s="43"/>
      <c r="X20" s="43"/>
      <c r="Y20" s="43"/>
      <c r="Z20" s="43"/>
      <c r="AA20" s="43"/>
      <c r="AB20" s="43"/>
      <c r="AC20" s="43"/>
    </row>
    <row r="21" spans="1:29" s="269" customFormat="1" ht="12" customHeight="1" x14ac:dyDescent="0.2">
      <c r="A21" s="43"/>
      <c r="B21" s="54">
        <f>IF(C21=NomG2,'C-L'!$AO$1,IF(C21=NomG1,'C-L'!$AN$1,IF(C21="",1,"")))</f>
        <v>1</v>
      </c>
      <c r="C21" s="414" t="str">
        <f>'C-P'!R16</f>
        <v/>
      </c>
      <c r="D21" s="413" t="str">
        <f t="shared" si="0"/>
        <v/>
      </c>
      <c r="E21" s="407"/>
      <c r="F21" s="405"/>
      <c r="G21" s="409" t="str">
        <f>IF(F21="","",'C-L'!$AR$1)</f>
        <v/>
      </c>
      <c r="H21" s="406"/>
      <c r="I21" s="409" t="str">
        <f>IF(H21="","",'C-L'!$AR$1)</f>
        <v/>
      </c>
      <c r="J21" s="406"/>
      <c r="K21" s="409" t="str">
        <f>IF(J21="","",'C-L'!$AR$1)</f>
        <v/>
      </c>
      <c r="L21" s="405"/>
      <c r="M21" s="411" t="str">
        <f>IF(L21="","",'C-L'!$AR$1)</f>
        <v/>
      </c>
      <c r="N21" s="36"/>
      <c r="O21" s="232"/>
      <c r="P21" s="43"/>
      <c r="Q21" s="232"/>
      <c r="R21" s="232"/>
      <c r="S21" s="43"/>
      <c r="T21" s="43"/>
      <c r="U21" s="43"/>
      <c r="V21" s="43"/>
      <c r="W21" s="43"/>
      <c r="X21" s="43"/>
      <c r="Y21" s="43"/>
      <c r="Z21" s="43"/>
      <c r="AA21" s="43"/>
      <c r="AB21" s="43"/>
      <c r="AC21" s="43"/>
    </row>
    <row r="22" spans="1:29" s="269" customFormat="1" ht="12" customHeight="1" x14ac:dyDescent="0.2">
      <c r="A22" s="43"/>
      <c r="B22" s="54">
        <f>IF(C22=NomG2,'C-L'!$AO$1,IF(C22=NomG1,'C-L'!$AN$1,IF(C22="",1,"")))</f>
        <v>1</v>
      </c>
      <c r="C22" s="414" t="str">
        <f>'C-P'!R17</f>
        <v/>
      </c>
      <c r="D22" s="413" t="str">
        <f t="shared" si="0"/>
        <v/>
      </c>
      <c r="E22" s="407"/>
      <c r="F22" s="405"/>
      <c r="G22" s="409" t="str">
        <f>IF(F22="","",'C-L'!$AR$1)</f>
        <v/>
      </c>
      <c r="H22" s="406"/>
      <c r="I22" s="409" t="str">
        <f>IF(H22="","",'C-L'!$AR$1)</f>
        <v/>
      </c>
      <c r="J22" s="406"/>
      <c r="K22" s="409" t="str">
        <f>IF(J22="","",'C-L'!$AR$1)</f>
        <v/>
      </c>
      <c r="L22" s="405"/>
      <c r="M22" s="411" t="str">
        <f>IF(L22="","",'C-L'!$AR$1)</f>
        <v/>
      </c>
      <c r="N22" s="36"/>
      <c r="O22" s="232"/>
      <c r="P22" s="43"/>
      <c r="Q22" s="232"/>
      <c r="R22" s="232"/>
      <c r="S22" s="43"/>
      <c r="T22" s="43"/>
      <c r="U22" s="43"/>
      <c r="V22" s="43"/>
      <c r="W22" s="43"/>
      <c r="X22" s="43"/>
      <c r="Y22" s="43"/>
      <c r="Z22" s="43"/>
      <c r="AA22" s="43"/>
      <c r="AB22" s="43"/>
      <c r="AC22" s="43"/>
    </row>
    <row r="23" spans="1:29" s="269" customFormat="1" ht="12" customHeight="1" x14ac:dyDescent="0.2">
      <c r="A23" s="43"/>
      <c r="B23" s="54">
        <f>IF(C23=NomG2,'C-L'!$AO$1,IF(C23=NomG1,'C-L'!$AN$1,IF(C23="",1,"")))</f>
        <v>1</v>
      </c>
      <c r="C23" s="414" t="str">
        <f>'C-P'!R18</f>
        <v/>
      </c>
      <c r="D23" s="413" t="str">
        <f t="shared" si="0"/>
        <v/>
      </c>
      <c r="E23" s="407"/>
      <c r="F23" s="405"/>
      <c r="G23" s="409" t="str">
        <f>IF(F23="","",'C-L'!$AR$1)</f>
        <v/>
      </c>
      <c r="H23" s="410"/>
      <c r="I23" s="409" t="str">
        <f>IF(H23="","",'C-L'!$AR$1)</f>
        <v/>
      </c>
      <c r="J23" s="410"/>
      <c r="K23" s="409" t="str">
        <f>IF(J23="","",'C-L'!$AR$1)</f>
        <v/>
      </c>
      <c r="L23" s="405"/>
      <c r="M23" s="411" t="str">
        <f>IF(L23="","",'C-L'!$AR$1)</f>
        <v/>
      </c>
      <c r="N23" s="36"/>
      <c r="O23" s="232"/>
      <c r="P23" s="43"/>
      <c r="Q23" s="232"/>
      <c r="R23" s="232"/>
      <c r="S23" s="43"/>
      <c r="T23" s="43"/>
      <c r="U23" s="43"/>
      <c r="V23" s="43"/>
      <c r="W23" s="43"/>
      <c r="X23" s="43"/>
      <c r="Y23" s="43"/>
      <c r="Z23" s="43"/>
      <c r="AA23" s="43"/>
      <c r="AB23" s="43"/>
      <c r="AC23" s="43"/>
    </row>
    <row r="24" spans="1:29" s="269" customFormat="1" ht="12" customHeight="1" x14ac:dyDescent="0.2">
      <c r="A24" s="43"/>
      <c r="B24" s="54">
        <f>IF(C24=NomG2,'C-L'!$AO$1,IF(C24=NomG1,'C-L'!$AN$1,IF(C24="",1,"")))</f>
        <v>1</v>
      </c>
      <c r="C24" s="414" t="str">
        <f>'C-P'!R19</f>
        <v/>
      </c>
      <c r="D24" s="413" t="str">
        <f t="shared" si="0"/>
        <v/>
      </c>
      <c r="E24" s="407"/>
      <c r="F24" s="405"/>
      <c r="G24" s="409" t="str">
        <f>IF(F24="","",'C-L'!$AR$1)</f>
        <v/>
      </c>
      <c r="H24" s="410"/>
      <c r="I24" s="409" t="str">
        <f>IF(H24="","",'C-L'!$AR$1)</f>
        <v/>
      </c>
      <c r="J24" s="410"/>
      <c r="K24" s="409" t="str">
        <f>IF(J24="","",'C-L'!$AR$1)</f>
        <v/>
      </c>
      <c r="L24" s="405"/>
      <c r="M24" s="411" t="str">
        <f>IF(L24="","",'C-L'!$AR$1)</f>
        <v/>
      </c>
      <c r="N24" s="36"/>
      <c r="O24" s="232"/>
      <c r="P24" s="43"/>
      <c r="Q24" s="232"/>
      <c r="R24" s="232"/>
      <c r="S24" s="43"/>
      <c r="T24" s="43"/>
      <c r="U24" s="43"/>
      <c r="V24" s="43"/>
      <c r="W24" s="43"/>
      <c r="X24" s="43"/>
      <c r="Y24" s="43"/>
      <c r="Z24" s="43"/>
      <c r="AA24" s="43"/>
      <c r="AB24" s="43"/>
      <c r="AC24" s="43"/>
    </row>
    <row r="25" spans="1:29" s="269" customFormat="1" ht="12" customHeight="1" x14ac:dyDescent="0.2">
      <c r="A25" s="43"/>
      <c r="B25" s="54">
        <f>IF(C25=NomG2,'C-L'!$AO$1,IF(C25=NomG1,'C-L'!$AN$1,IF(C25="",1,"")))</f>
        <v>1</v>
      </c>
      <c r="C25" s="414" t="str">
        <f>'C-P'!R20</f>
        <v/>
      </c>
      <c r="D25" s="413" t="str">
        <f t="shared" si="0"/>
        <v/>
      </c>
      <c r="E25" s="407"/>
      <c r="F25" s="405"/>
      <c r="G25" s="409" t="str">
        <f>IF(F25="","",'C-L'!$AR$1)</f>
        <v/>
      </c>
      <c r="H25" s="410"/>
      <c r="I25" s="409" t="str">
        <f>IF(H25="","",'C-L'!$AR$1)</f>
        <v/>
      </c>
      <c r="J25" s="410"/>
      <c r="K25" s="409" t="str">
        <f>IF(J25="","",'C-L'!$AR$1)</f>
        <v/>
      </c>
      <c r="L25" s="405"/>
      <c r="M25" s="411" t="str">
        <f>IF(L25="","",'C-L'!$AR$1)</f>
        <v/>
      </c>
      <c r="N25" s="36"/>
      <c r="O25" s="232"/>
      <c r="P25" s="36"/>
      <c r="Q25" s="232"/>
      <c r="R25" s="43"/>
      <c r="S25" s="43"/>
      <c r="T25" s="43"/>
      <c r="U25" s="43"/>
      <c r="V25" s="43"/>
      <c r="W25" s="43"/>
      <c r="X25" s="43"/>
      <c r="Y25" s="43"/>
      <c r="Z25" s="43"/>
      <c r="AA25" s="43"/>
      <c r="AB25" s="43"/>
      <c r="AC25" s="43"/>
    </row>
    <row r="26" spans="1:29" s="269" customFormat="1" ht="12" customHeight="1" x14ac:dyDescent="0.2">
      <c r="A26" s="43"/>
      <c r="B26" s="54">
        <f>IF(C26=NomG2,'C-L'!$AO$1,IF(C26=NomG1,'C-L'!$AN$1,IF(C26="",1,"")))</f>
        <v>1</v>
      </c>
      <c r="C26" s="414" t="str">
        <f>'C-P'!R21</f>
        <v/>
      </c>
      <c r="D26" s="413" t="str">
        <f t="shared" si="0"/>
        <v/>
      </c>
      <c r="E26" s="407"/>
      <c r="F26" s="405"/>
      <c r="G26" s="409" t="str">
        <f>IF(F26="","",'C-L'!$AR$1)</f>
        <v/>
      </c>
      <c r="H26" s="410"/>
      <c r="I26" s="409" t="str">
        <f>IF(H26="","",'C-L'!$AR$1)</f>
        <v/>
      </c>
      <c r="J26" s="410"/>
      <c r="K26" s="409" t="str">
        <f>IF(J26="","",'C-L'!$AR$1)</f>
        <v/>
      </c>
      <c r="L26" s="405"/>
      <c r="M26" s="411" t="str">
        <f>IF(L26="","",'C-L'!$AR$1)</f>
        <v/>
      </c>
      <c r="N26" s="36"/>
      <c r="O26" s="232"/>
      <c r="P26" s="232"/>
      <c r="Q26" s="232"/>
      <c r="R26" s="43"/>
      <c r="S26" s="43"/>
      <c r="T26" s="43"/>
      <c r="U26" s="43"/>
      <c r="V26" s="43"/>
      <c r="W26" s="43"/>
      <c r="X26" s="43"/>
      <c r="Y26" s="43"/>
      <c r="Z26" s="43"/>
      <c r="AA26" s="43"/>
      <c r="AB26" s="43"/>
      <c r="AC26" s="43"/>
    </row>
    <row r="27" spans="1:29" s="269" customFormat="1" ht="12" customHeight="1" x14ac:dyDescent="0.2">
      <c r="A27" s="43"/>
      <c r="B27" s="54">
        <f>IF(C27=NomG2,'C-L'!$AO$1,IF(C27=NomG1,'C-L'!$AN$1,IF(C27="",1,"")))</f>
        <v>1</v>
      </c>
      <c r="C27" s="414" t="str">
        <f>'C-P'!R22</f>
        <v/>
      </c>
      <c r="D27" s="413" t="str">
        <f t="shared" si="0"/>
        <v/>
      </c>
      <c r="E27" s="407"/>
      <c r="F27" s="405"/>
      <c r="G27" s="409" t="str">
        <f>IF(F27="","",'C-L'!$AR$1)</f>
        <v/>
      </c>
      <c r="H27" s="410"/>
      <c r="I27" s="409" t="str">
        <f>IF(H27="","",'C-L'!$AR$1)</f>
        <v/>
      </c>
      <c r="J27" s="410"/>
      <c r="K27" s="409" t="str">
        <f>IF(J27="","",'C-L'!$AR$1)</f>
        <v/>
      </c>
      <c r="L27" s="405"/>
      <c r="M27" s="411" t="str">
        <f>IF(L27="","",'C-L'!$AR$1)</f>
        <v/>
      </c>
      <c r="N27" s="36"/>
      <c r="O27" s="232"/>
      <c r="P27" s="232"/>
      <c r="Q27" s="232"/>
      <c r="R27" s="43"/>
      <c r="S27" s="43"/>
      <c r="T27" s="43"/>
      <c r="U27" s="43"/>
      <c r="V27" s="43"/>
      <c r="W27" s="43"/>
      <c r="X27" s="43"/>
      <c r="Y27" s="43"/>
      <c r="Z27" s="43"/>
      <c r="AA27" s="43"/>
      <c r="AB27" s="43"/>
      <c r="AC27" s="43"/>
    </row>
    <row r="28" spans="1:29" s="269" customFormat="1" ht="12" customHeight="1" x14ac:dyDescent="0.2">
      <c r="A28" s="43"/>
      <c r="B28" s="54">
        <f>IF(C28=NomG2,'C-L'!$AO$1,IF(C28=NomG1,'C-L'!$AN$1,IF(C28="",1,"")))</f>
        <v>1</v>
      </c>
      <c r="C28" s="414" t="str">
        <f>'C-P'!R23</f>
        <v/>
      </c>
      <c r="D28" s="413" t="str">
        <f t="shared" si="0"/>
        <v/>
      </c>
      <c r="E28" s="407"/>
      <c r="F28" s="405"/>
      <c r="G28" s="409" t="str">
        <f>IF(F28="","",'C-L'!$AR$1)</f>
        <v/>
      </c>
      <c r="H28" s="410"/>
      <c r="I28" s="409" t="str">
        <f>IF(H28="","",'C-L'!$AR$1)</f>
        <v/>
      </c>
      <c r="J28" s="410"/>
      <c r="K28" s="409" t="str">
        <f>IF(J28="","",'C-L'!$AR$1)</f>
        <v/>
      </c>
      <c r="L28" s="405"/>
      <c r="M28" s="411" t="str">
        <f>IF(L28="","",'C-L'!$AR$1)</f>
        <v/>
      </c>
      <c r="N28" s="36"/>
      <c r="O28" s="232"/>
      <c r="P28" s="232"/>
      <c r="Q28" s="232"/>
      <c r="R28" s="43"/>
      <c r="S28" s="43"/>
      <c r="T28" s="43"/>
      <c r="U28" s="43"/>
      <c r="V28" s="43"/>
      <c r="W28" s="43"/>
      <c r="X28" s="43"/>
      <c r="Y28" s="43"/>
      <c r="Z28" s="43"/>
      <c r="AA28" s="43"/>
      <c r="AB28" s="43"/>
      <c r="AC28" s="43"/>
    </row>
    <row r="29" spans="1:29" s="269" customFormat="1" ht="12" customHeight="1" x14ac:dyDescent="0.2">
      <c r="A29" s="43"/>
      <c r="B29" s="54">
        <f>IF(C29=NomG2,'C-L'!$AO$1,IF(C29=NomG1,'C-L'!$AN$1,IF(C29="",1,"")))</f>
        <v>1</v>
      </c>
      <c r="C29" s="414" t="str">
        <f>'C-P'!R24</f>
        <v/>
      </c>
      <c r="D29" s="413" t="str">
        <f t="shared" si="0"/>
        <v/>
      </c>
      <c r="E29" s="407"/>
      <c r="F29" s="405"/>
      <c r="G29" s="409" t="str">
        <f>IF(F29="","",'C-L'!$AR$1)</f>
        <v/>
      </c>
      <c r="H29" s="410"/>
      <c r="I29" s="409" t="str">
        <f>IF(H29="","",'C-L'!$AR$1)</f>
        <v/>
      </c>
      <c r="J29" s="410"/>
      <c r="K29" s="409" t="str">
        <f>IF(J29="","",'C-L'!$AR$1)</f>
        <v/>
      </c>
      <c r="L29" s="405"/>
      <c r="M29" s="411" t="str">
        <f>IF(L29="","",'C-L'!$AR$1)</f>
        <v/>
      </c>
      <c r="N29" s="36"/>
      <c r="O29" s="232"/>
      <c r="P29" s="232"/>
      <c r="Q29" s="43"/>
      <c r="R29" s="43"/>
      <c r="S29" s="43"/>
      <c r="T29" s="43"/>
      <c r="U29" s="43"/>
      <c r="V29" s="43"/>
      <c r="W29" s="43"/>
      <c r="X29" s="43"/>
      <c r="Y29" s="43"/>
      <c r="Z29" s="43"/>
      <c r="AA29" s="43"/>
      <c r="AB29" s="43"/>
      <c r="AC29" s="43"/>
    </row>
    <row r="30" spans="1:29" s="269" customFormat="1" ht="12" customHeight="1" x14ac:dyDescent="0.2">
      <c r="A30" s="43"/>
      <c r="B30" s="54">
        <f>IF(C30=NomG2,'C-L'!$AO$1,IF(C30=NomG1,'C-L'!$AN$1,IF(C30="",1,"")))</f>
        <v>1</v>
      </c>
      <c r="C30" s="414" t="str">
        <f>'C-P'!R25</f>
        <v/>
      </c>
      <c r="D30" s="413" t="str">
        <f t="shared" si="0"/>
        <v/>
      </c>
      <c r="E30" s="407"/>
      <c r="F30" s="405"/>
      <c r="G30" s="409" t="str">
        <f>IF(F30="","",'C-L'!$AR$1)</f>
        <v/>
      </c>
      <c r="H30" s="410"/>
      <c r="I30" s="409" t="str">
        <f>IF(H30="","",'C-L'!$AR$1)</f>
        <v/>
      </c>
      <c r="J30" s="410"/>
      <c r="K30" s="409" t="str">
        <f>IF(J30="","",'C-L'!$AR$1)</f>
        <v/>
      </c>
      <c r="L30" s="405"/>
      <c r="M30" s="411" t="str">
        <f>IF(L30="","",'C-L'!$AR$1)</f>
        <v/>
      </c>
      <c r="N30" s="36"/>
      <c r="O30" s="232"/>
      <c r="P30" s="232"/>
      <c r="Q30" s="43"/>
      <c r="R30" s="43"/>
      <c r="S30" s="43"/>
      <c r="T30" s="43"/>
      <c r="U30" s="43"/>
      <c r="V30" s="43"/>
      <c r="W30" s="43"/>
      <c r="X30" s="43"/>
      <c r="Y30" s="43"/>
      <c r="Z30" s="43"/>
      <c r="AA30" s="43"/>
      <c r="AB30" s="43"/>
      <c r="AC30" s="43"/>
    </row>
    <row r="31" spans="1:29" s="269" customFormat="1" ht="12" customHeight="1" x14ac:dyDescent="0.2">
      <c r="A31" s="43"/>
      <c r="B31" s="54">
        <f>IF(C31=NomG2,'C-L'!$AO$1,IF(C31=NomG1,'C-L'!$AN$1,IF(C31="",1,"")))</f>
        <v>1</v>
      </c>
      <c r="C31" s="414" t="str">
        <f>'C-P'!R26</f>
        <v/>
      </c>
      <c r="D31" s="413" t="str">
        <f t="shared" si="0"/>
        <v/>
      </c>
      <c r="E31" s="407"/>
      <c r="F31" s="405"/>
      <c r="G31" s="409" t="str">
        <f>IF(F31="","",'C-L'!$AR$1)</f>
        <v/>
      </c>
      <c r="H31" s="410"/>
      <c r="I31" s="409" t="str">
        <f>IF(H31="","",'C-L'!$AR$1)</f>
        <v/>
      </c>
      <c r="J31" s="410"/>
      <c r="K31" s="409" t="str">
        <f>IF(J31="","",'C-L'!$AR$1)</f>
        <v/>
      </c>
      <c r="L31" s="405"/>
      <c r="M31" s="411" t="str">
        <f>IF(L31="","",'C-L'!$AR$1)</f>
        <v/>
      </c>
      <c r="N31" s="36"/>
      <c r="O31" s="232"/>
      <c r="P31" s="232"/>
      <c r="Q31" s="43"/>
      <c r="R31" s="43"/>
      <c r="S31" s="43"/>
      <c r="T31" s="43"/>
      <c r="U31" s="43"/>
      <c r="V31" s="43"/>
      <c r="W31" s="43"/>
      <c r="X31" s="43"/>
      <c r="Y31" s="43"/>
      <c r="Z31" s="43"/>
      <c r="AA31" s="43"/>
      <c r="AB31" s="43"/>
      <c r="AC31" s="43"/>
    </row>
    <row r="32" spans="1:29" s="269" customFormat="1" ht="12" customHeight="1" x14ac:dyDescent="0.2">
      <c r="A32" s="43"/>
      <c r="B32" s="54">
        <f>IF(C32=NomG2,'C-L'!$AO$1,IF(C32=NomG1,'C-L'!$AN$1,IF(C32="",1,"")))</f>
        <v>1</v>
      </c>
      <c r="C32" s="414" t="str">
        <f>'C-P'!R27</f>
        <v/>
      </c>
      <c r="D32" s="413" t="str">
        <f t="shared" si="0"/>
        <v/>
      </c>
      <c r="E32" s="408"/>
      <c r="F32" s="406"/>
      <c r="G32" s="409" t="str">
        <f>IF(F32="","",'C-L'!$AR$1)</f>
        <v/>
      </c>
      <c r="H32" s="410"/>
      <c r="I32" s="409" t="str">
        <f>IF(H32="","",'C-L'!$AR$1)</f>
        <v/>
      </c>
      <c r="J32" s="410"/>
      <c r="K32" s="409" t="str">
        <f>IF(J32="","",'C-L'!$AR$1)</f>
        <v/>
      </c>
      <c r="L32" s="406"/>
      <c r="M32" s="411" t="str">
        <f>IF(L32="","",'C-L'!$AR$1)</f>
        <v/>
      </c>
      <c r="N32" s="36"/>
      <c r="O32" s="232"/>
      <c r="P32" s="232"/>
      <c r="Q32" s="43"/>
      <c r="R32" s="43"/>
      <c r="S32" s="43"/>
      <c r="T32" s="43"/>
      <c r="U32" s="43"/>
      <c r="V32" s="43"/>
      <c r="W32" s="43"/>
      <c r="X32" s="43"/>
      <c r="Y32" s="43"/>
      <c r="Z32" s="43"/>
      <c r="AA32" s="43"/>
      <c r="AB32" s="43"/>
      <c r="AC32" s="43"/>
    </row>
    <row r="33" spans="1:29" s="269" customFormat="1" ht="12" customHeight="1" x14ac:dyDescent="0.2">
      <c r="A33" s="43"/>
      <c r="B33" s="54">
        <f>IF(C33=NomG2,'C-L'!$AO$1,IF(C33=NomG1,'C-L'!$AN$1,IF(C33="",1,"")))</f>
        <v>1</v>
      </c>
      <c r="C33" s="414" t="str">
        <f>'C-P'!R28</f>
        <v/>
      </c>
      <c r="D33" s="413" t="str">
        <f t="shared" si="0"/>
        <v/>
      </c>
      <c r="E33" s="408"/>
      <c r="F33" s="406"/>
      <c r="G33" s="409" t="str">
        <f>IF(F33="","",'C-L'!$AR$1)</f>
        <v/>
      </c>
      <c r="H33" s="410"/>
      <c r="I33" s="409" t="str">
        <f>IF(H33="","",'C-L'!$AR$1)</f>
        <v/>
      </c>
      <c r="J33" s="410"/>
      <c r="K33" s="409" t="str">
        <f>IF(J33="","",'C-L'!$AR$1)</f>
        <v/>
      </c>
      <c r="L33" s="406"/>
      <c r="M33" s="411" t="str">
        <f>IF(L33="","",'C-L'!$AR$1)</f>
        <v/>
      </c>
      <c r="N33" s="36"/>
      <c r="O33" s="232"/>
      <c r="P33" s="232"/>
      <c r="Q33" s="43"/>
      <c r="R33" s="43"/>
      <c r="S33" s="43"/>
      <c r="T33" s="43"/>
      <c r="U33" s="43"/>
      <c r="V33" s="43"/>
      <c r="W33" s="43"/>
      <c r="X33" s="43"/>
      <c r="Y33" s="43"/>
      <c r="Z33" s="43"/>
      <c r="AA33" s="43"/>
      <c r="AB33" s="43"/>
      <c r="AC33" s="43"/>
    </row>
    <row r="34" spans="1:29" s="269" customFormat="1" ht="12" customHeight="1" x14ac:dyDescent="0.2">
      <c r="A34" s="43"/>
      <c r="B34" s="54">
        <f>IF(C34=NomG2,'C-L'!$AO$1,IF(C34=NomG1,'C-L'!$AN$1,IF(C34="",1,"")))</f>
        <v>1</v>
      </c>
      <c r="C34" s="414" t="str">
        <f>'C-P'!R29</f>
        <v/>
      </c>
      <c r="D34" s="112"/>
      <c r="E34" s="273"/>
      <c r="F34" s="274"/>
      <c r="G34" s="233"/>
      <c r="H34" s="275"/>
      <c r="I34" s="276"/>
      <c r="J34" s="274"/>
      <c r="K34" s="233"/>
      <c r="L34" s="274"/>
      <c r="M34" s="233"/>
      <c r="N34" s="43"/>
      <c r="O34" s="232"/>
      <c r="P34" s="232"/>
      <c r="Q34" s="43"/>
      <c r="R34" s="43"/>
      <c r="S34" s="43"/>
      <c r="T34" s="43"/>
      <c r="U34" s="43"/>
      <c r="V34" s="43"/>
      <c r="W34" s="43"/>
      <c r="X34" s="43"/>
      <c r="Y34" s="43"/>
      <c r="Z34" s="43"/>
      <c r="AA34" s="43"/>
      <c r="AB34" s="43"/>
      <c r="AC34" s="43"/>
    </row>
    <row r="35" spans="1:29" s="269" customFormat="1" ht="12" customHeight="1" x14ac:dyDescent="0.2">
      <c r="A35" s="43"/>
      <c r="B35" s="112"/>
      <c r="C35" s="112">
        <v>0</v>
      </c>
      <c r="D35" s="112"/>
      <c r="E35" s="277"/>
      <c r="F35" s="233"/>
      <c r="G35" s="233"/>
      <c r="H35" s="276"/>
      <c r="I35" s="276"/>
      <c r="J35" s="233"/>
      <c r="K35" s="233"/>
      <c r="L35" s="233"/>
      <c r="M35" s="233"/>
      <c r="N35" s="43"/>
      <c r="O35" s="232"/>
      <c r="P35" s="232"/>
      <c r="Q35" s="43"/>
      <c r="R35" s="43"/>
      <c r="S35" s="43"/>
      <c r="T35" s="43"/>
      <c r="U35" s="43"/>
      <c r="V35" s="43"/>
      <c r="W35" s="43"/>
      <c r="X35" s="43"/>
      <c r="Y35" s="43"/>
      <c r="Z35" s="43"/>
      <c r="AA35" s="43"/>
      <c r="AB35" s="43"/>
      <c r="AC35" s="43"/>
    </row>
    <row r="36" spans="1:29" s="269" customFormat="1" x14ac:dyDescent="0.2">
      <c r="A36" s="43"/>
      <c r="B36" s="43"/>
      <c r="C36" s="43"/>
      <c r="D36" s="43"/>
      <c r="E36" s="277"/>
      <c r="F36" s="233"/>
      <c r="G36" s="233"/>
      <c r="H36" s="276"/>
      <c r="I36" s="276"/>
      <c r="J36" s="233"/>
      <c r="K36" s="233"/>
      <c r="L36" s="233"/>
      <c r="M36" s="233"/>
      <c r="N36" s="233"/>
      <c r="O36" s="43"/>
      <c r="P36" s="233"/>
      <c r="Q36" s="43"/>
      <c r="R36" s="43"/>
      <c r="S36" s="43"/>
      <c r="T36" s="43"/>
      <c r="U36" s="43"/>
      <c r="V36" s="43"/>
      <c r="W36" s="43"/>
      <c r="X36" s="43"/>
      <c r="Y36" s="43"/>
      <c r="Z36" s="43"/>
      <c r="AA36" s="43"/>
      <c r="AB36" s="43"/>
      <c r="AC36" s="43"/>
    </row>
    <row r="37" spans="1:29" s="269" customFormat="1" x14ac:dyDescent="0.2">
      <c r="A37" s="43"/>
      <c r="B37" s="43"/>
      <c r="C37" s="43"/>
      <c r="D37" s="43"/>
      <c r="E37" s="266"/>
      <c r="F37" s="278"/>
      <c r="G37" s="278"/>
      <c r="H37" s="279"/>
      <c r="I37" s="279"/>
      <c r="J37" s="278"/>
      <c r="K37" s="278"/>
      <c r="L37" s="278"/>
      <c r="M37" s="278"/>
      <c r="N37" s="278"/>
      <c r="O37" s="43"/>
      <c r="P37" s="43"/>
      <c r="Q37" s="43"/>
      <c r="R37" s="43"/>
      <c r="S37" s="43"/>
      <c r="T37" s="43"/>
      <c r="U37" s="43"/>
      <c r="V37" s="43"/>
      <c r="W37" s="43"/>
      <c r="X37" s="43"/>
      <c r="Y37" s="43"/>
      <c r="Z37" s="43"/>
      <c r="AA37" s="43"/>
      <c r="AB37" s="43"/>
      <c r="AC37" s="43"/>
    </row>
    <row r="38" spans="1:29" s="269" customFormat="1" x14ac:dyDescent="0.2">
      <c r="A38" s="43"/>
      <c r="B38" s="43"/>
      <c r="C38" s="43"/>
      <c r="D38" s="43"/>
      <c r="E38" s="266"/>
      <c r="F38" s="278"/>
      <c r="G38" s="278"/>
      <c r="H38" s="279"/>
      <c r="I38" s="279"/>
      <c r="J38" s="278"/>
      <c r="K38" s="278"/>
      <c r="L38" s="278"/>
      <c r="M38" s="278"/>
      <c r="N38" s="278"/>
      <c r="O38" s="43"/>
      <c r="P38" s="43"/>
      <c r="Q38" s="43"/>
      <c r="R38" s="43"/>
      <c r="S38" s="43"/>
      <c r="T38" s="43"/>
      <c r="U38" s="43"/>
      <c r="V38" s="43"/>
      <c r="W38" s="43"/>
      <c r="X38" s="43"/>
      <c r="Y38" s="43"/>
      <c r="Z38" s="43"/>
      <c r="AA38" s="43"/>
      <c r="AB38" s="43"/>
      <c r="AC38" s="43"/>
    </row>
    <row r="39" spans="1:29" s="269" customFormat="1" x14ac:dyDescent="0.2">
      <c r="A39" s="43"/>
      <c r="B39" s="43"/>
      <c r="C39" s="43"/>
      <c r="D39" s="43"/>
      <c r="E39" s="266"/>
      <c r="F39" s="278"/>
      <c r="G39" s="278"/>
      <c r="H39" s="279"/>
      <c r="I39" s="279"/>
      <c r="J39" s="278"/>
      <c r="K39" s="278"/>
      <c r="L39" s="278"/>
      <c r="M39" s="278"/>
      <c r="N39" s="278"/>
      <c r="O39" s="43"/>
      <c r="P39" s="43"/>
      <c r="Q39" s="43"/>
      <c r="R39" s="43"/>
      <c r="S39" s="43"/>
      <c r="T39" s="43"/>
      <c r="U39" s="43"/>
      <c r="V39" s="43"/>
      <c r="W39" s="43"/>
      <c r="X39" s="43"/>
      <c r="Y39" s="43"/>
      <c r="Z39" s="43"/>
      <c r="AA39" s="43"/>
      <c r="AB39" s="43"/>
      <c r="AC39" s="43"/>
    </row>
    <row r="40" spans="1:29" s="269" customFormat="1" x14ac:dyDescent="0.2">
      <c r="A40" s="43"/>
      <c r="B40" s="43"/>
      <c r="C40" s="43"/>
      <c r="D40" s="43"/>
      <c r="E40" s="266"/>
      <c r="F40" s="278"/>
      <c r="G40" s="278"/>
      <c r="H40" s="279"/>
      <c r="I40" s="279"/>
      <c r="J40" s="278"/>
      <c r="K40" s="278"/>
      <c r="L40" s="278"/>
      <c r="M40" s="278"/>
      <c r="N40" s="278"/>
      <c r="O40" s="43"/>
      <c r="P40" s="43"/>
      <c r="Q40" s="43"/>
      <c r="R40" s="43"/>
      <c r="S40" s="43"/>
      <c r="T40" s="43"/>
      <c r="U40" s="43"/>
      <c r="V40" s="43"/>
      <c r="W40" s="43"/>
      <c r="X40" s="43"/>
      <c r="Y40" s="43"/>
      <c r="Z40" s="43"/>
      <c r="AA40" s="43"/>
      <c r="AB40" s="43"/>
      <c r="AC40" s="43"/>
    </row>
    <row r="41" spans="1:29" s="269" customFormat="1" x14ac:dyDescent="0.2">
      <c r="A41" s="43"/>
      <c r="B41" s="43"/>
      <c r="C41" s="43"/>
      <c r="D41" s="43"/>
      <c r="E41" s="278" t="str">
        <f>'C-L'!$CG$1</f>
        <v>Entry OK</v>
      </c>
      <c r="F41" s="278"/>
      <c r="G41" s="278"/>
      <c r="H41" s="278"/>
      <c r="I41" s="278"/>
      <c r="J41" s="278"/>
      <c r="K41" s="278"/>
      <c r="L41" s="278"/>
      <c r="M41" s="278"/>
      <c r="N41" s="278"/>
      <c r="O41" s="43"/>
      <c r="P41" s="43"/>
      <c r="Q41" s="43"/>
      <c r="R41" s="43"/>
      <c r="S41" s="43"/>
      <c r="T41" s="43"/>
      <c r="U41" s="43"/>
      <c r="V41" s="43"/>
      <c r="W41" s="43"/>
      <c r="X41" s="43"/>
      <c r="Y41" s="43"/>
      <c r="Z41" s="43"/>
      <c r="AA41" s="43"/>
      <c r="AB41" s="43"/>
      <c r="AC41" s="43"/>
    </row>
    <row r="42" spans="1:29" s="269" customFormat="1" x14ac:dyDescent="0.2">
      <c r="A42" s="43"/>
      <c r="B42" s="43"/>
      <c r="C42" s="43"/>
      <c r="D42" s="43"/>
      <c r="E42" s="278" t="str">
        <f>'C-L'!$CI$1</f>
        <v>Wrong entry</v>
      </c>
      <c r="F42" s="278"/>
      <c r="G42" s="278"/>
      <c r="H42" s="278"/>
      <c r="I42" s="278"/>
      <c r="J42" s="278"/>
      <c r="K42" s="278"/>
      <c r="L42" s="278"/>
      <c r="M42" s="278"/>
      <c r="N42" s="278"/>
      <c r="O42" s="43"/>
      <c r="P42" s="43"/>
      <c r="Q42" s="43"/>
      <c r="R42" s="43"/>
      <c r="S42" s="43"/>
      <c r="T42" s="43"/>
      <c r="U42" s="43"/>
      <c r="V42" s="43"/>
      <c r="W42" s="43"/>
      <c r="X42" s="43"/>
      <c r="Y42" s="43"/>
      <c r="Z42" s="43"/>
      <c r="AA42" s="43"/>
      <c r="AB42" s="43"/>
      <c r="AC42" s="43"/>
    </row>
    <row r="43" spans="1:29" s="269" customFormat="1" x14ac:dyDescent="0.2">
      <c r="A43" s="43"/>
      <c r="B43" s="43"/>
      <c r="C43" s="43"/>
      <c r="D43" s="43"/>
      <c r="E43" s="266"/>
      <c r="F43" s="278"/>
      <c r="G43" s="278"/>
      <c r="H43" s="280">
        <f>S_TempsEvacuationVehicule</f>
        <v>1</v>
      </c>
      <c r="I43" s="280"/>
      <c r="J43" s="281">
        <f>S_TempsAccèsPortéeSuivante</f>
        <v>1</v>
      </c>
      <c r="K43" s="281"/>
      <c r="L43" s="281"/>
      <c r="M43" s="281"/>
      <c r="N43" s="281"/>
      <c r="O43" s="43"/>
      <c r="P43" s="43"/>
      <c r="Q43" s="43"/>
      <c r="R43" s="43"/>
      <c r="S43" s="43"/>
      <c r="T43" s="43"/>
      <c r="U43" s="43"/>
      <c r="V43" s="43"/>
      <c r="W43" s="43"/>
      <c r="X43" s="43"/>
      <c r="Y43" s="43"/>
      <c r="Z43" s="43"/>
      <c r="AA43" s="43"/>
      <c r="AB43" s="43"/>
      <c r="AC43" s="43"/>
    </row>
    <row r="44" spans="1:29" s="269" customFormat="1" x14ac:dyDescent="0.2">
      <c r="A44" s="43"/>
      <c r="B44" s="43"/>
      <c r="C44" s="43"/>
      <c r="D44" s="43"/>
      <c r="E44" s="266"/>
      <c r="F44" s="278"/>
      <c r="G44" s="278"/>
      <c r="H44" s="280">
        <f>NBPylône</f>
        <v>0</v>
      </c>
      <c r="I44" s="280"/>
      <c r="J44" s="280">
        <f>NBPylône</f>
        <v>0</v>
      </c>
      <c r="K44" s="280"/>
      <c r="L44" s="281"/>
      <c r="M44" s="281"/>
      <c r="N44" s="281"/>
      <c r="O44" s="43"/>
      <c r="P44" s="43"/>
      <c r="Q44" s="43"/>
      <c r="R44" s="43"/>
      <c r="S44" s="43"/>
      <c r="T44" s="43"/>
      <c r="U44" s="43"/>
      <c r="V44" s="43"/>
      <c r="W44" s="43"/>
      <c r="X44" s="43"/>
      <c r="Y44" s="43"/>
      <c r="Z44" s="43"/>
      <c r="AA44" s="43"/>
      <c r="AB44" s="43"/>
      <c r="AC44" s="43"/>
    </row>
    <row r="45" spans="1:29" s="269" customFormat="1" x14ac:dyDescent="0.2">
      <c r="A45" s="43"/>
      <c r="B45" s="43"/>
      <c r="C45" s="43"/>
      <c r="D45" s="43"/>
      <c r="E45" s="266"/>
      <c r="F45" s="278"/>
      <c r="G45" s="278"/>
      <c r="H45" s="279"/>
      <c r="I45" s="279"/>
      <c r="J45" s="278"/>
      <c r="K45" s="278"/>
      <c r="L45" s="278"/>
      <c r="M45" s="278"/>
      <c r="N45" s="278"/>
      <c r="O45" s="43"/>
      <c r="P45" s="43"/>
      <c r="Q45" s="43"/>
      <c r="R45" s="43"/>
      <c r="S45" s="43"/>
      <c r="T45" s="43"/>
      <c r="U45" s="43"/>
      <c r="V45" s="43"/>
      <c r="W45" s="43"/>
      <c r="X45" s="43"/>
      <c r="Y45" s="43"/>
      <c r="Z45" s="43"/>
      <c r="AA45" s="43"/>
      <c r="AB45" s="43"/>
      <c r="AC45" s="43"/>
    </row>
    <row r="46" spans="1:29" s="269" customFormat="1" x14ac:dyDescent="0.2">
      <c r="A46" s="43"/>
      <c r="B46" s="43"/>
      <c r="C46" s="43"/>
      <c r="D46" s="43"/>
      <c r="E46" s="266"/>
      <c r="F46" s="278"/>
      <c r="G46" s="278"/>
      <c r="H46" s="279"/>
      <c r="I46" s="279"/>
      <c r="J46" s="278"/>
      <c r="K46" s="278"/>
      <c r="L46" s="278"/>
      <c r="M46" s="278"/>
      <c r="N46" s="278"/>
      <c r="O46" s="43"/>
      <c r="P46" s="43"/>
      <c r="Q46" s="43"/>
      <c r="R46" s="43"/>
      <c r="S46" s="43"/>
      <c r="T46" s="43"/>
      <c r="U46" s="43"/>
      <c r="V46" s="43"/>
      <c r="W46" s="43"/>
      <c r="X46" s="43"/>
      <c r="Y46" s="43"/>
      <c r="Z46" s="43"/>
      <c r="AA46" s="43"/>
      <c r="AB46" s="43"/>
      <c r="AC46" s="43"/>
    </row>
    <row r="47" spans="1:29" s="269" customFormat="1" x14ac:dyDescent="0.2">
      <c r="A47" s="43"/>
      <c r="B47" s="43"/>
      <c r="C47" s="43"/>
      <c r="D47" s="43"/>
      <c r="E47" s="266"/>
      <c r="F47" s="278"/>
      <c r="G47" s="278"/>
      <c r="H47" s="279"/>
      <c r="I47" s="279"/>
      <c r="J47" s="278"/>
      <c r="K47" s="278"/>
      <c r="L47" s="278"/>
      <c r="M47" s="278"/>
      <c r="N47" s="278"/>
      <c r="O47" s="43"/>
      <c r="P47" s="43"/>
      <c r="Q47" s="43"/>
      <c r="R47" s="43"/>
      <c r="S47" s="43"/>
      <c r="T47" s="43"/>
      <c r="U47" s="43"/>
      <c r="V47" s="43"/>
      <c r="W47" s="43"/>
      <c r="X47" s="43"/>
      <c r="Y47" s="43"/>
      <c r="Z47" s="43"/>
      <c r="AA47" s="43"/>
      <c r="AB47" s="43"/>
      <c r="AC47" s="43"/>
    </row>
    <row r="48" spans="1:29" s="269" customFormat="1" x14ac:dyDescent="0.2">
      <c r="A48" s="43"/>
      <c r="B48" s="43"/>
      <c r="C48" s="43"/>
      <c r="D48" s="43"/>
      <c r="E48" s="266"/>
      <c r="F48" s="278"/>
      <c r="G48" s="278"/>
      <c r="H48" s="279"/>
      <c r="I48" s="279"/>
      <c r="J48" s="278"/>
      <c r="K48" s="278"/>
      <c r="L48" s="278"/>
      <c r="M48" s="278"/>
      <c r="N48" s="278"/>
      <c r="O48" s="43"/>
      <c r="P48" s="43"/>
      <c r="Q48" s="43"/>
      <c r="R48" s="43"/>
      <c r="S48" s="43"/>
      <c r="T48" s="43"/>
      <c r="U48" s="43"/>
      <c r="V48" s="43"/>
      <c r="W48" s="43"/>
      <c r="X48" s="43"/>
      <c r="Y48" s="43"/>
      <c r="Z48" s="43"/>
      <c r="AA48" s="43"/>
      <c r="AB48" s="43"/>
      <c r="AC48" s="43"/>
    </row>
    <row r="49" spans="1:29" s="269" customFormat="1" x14ac:dyDescent="0.2">
      <c r="A49" s="43"/>
      <c r="B49" s="43"/>
      <c r="C49" s="43"/>
      <c r="D49" s="43"/>
      <c r="E49" s="266"/>
      <c r="F49" s="278"/>
      <c r="G49" s="278"/>
      <c r="H49" s="279"/>
      <c r="I49" s="279"/>
      <c r="J49" s="278"/>
      <c r="K49" s="278"/>
      <c r="L49" s="278"/>
      <c r="M49" s="278"/>
      <c r="N49" s="278"/>
      <c r="O49" s="43"/>
      <c r="P49" s="43"/>
      <c r="Q49" s="43"/>
      <c r="R49" s="43"/>
      <c r="S49" s="43"/>
      <c r="T49" s="43"/>
      <c r="U49" s="43"/>
      <c r="V49" s="43"/>
      <c r="W49" s="43"/>
      <c r="X49" s="43"/>
      <c r="Y49" s="43"/>
      <c r="Z49" s="43"/>
      <c r="AA49" s="43"/>
      <c r="AB49" s="43"/>
      <c r="AC49" s="43"/>
    </row>
    <row r="50" spans="1:29" s="269" customFormat="1" x14ac:dyDescent="0.2">
      <c r="A50" s="43"/>
      <c r="B50" s="43"/>
      <c r="C50" s="43"/>
      <c r="D50" s="43"/>
      <c r="E50" s="266"/>
      <c r="F50" s="278"/>
      <c r="G50" s="278"/>
      <c r="H50" s="279"/>
      <c r="I50" s="279"/>
      <c r="J50" s="278"/>
      <c r="K50" s="278"/>
      <c r="L50" s="278"/>
      <c r="M50" s="278"/>
      <c r="N50" s="278"/>
      <c r="O50" s="43"/>
      <c r="P50" s="43"/>
      <c r="Q50" s="43"/>
      <c r="R50" s="43"/>
      <c r="S50" s="43"/>
      <c r="T50" s="43"/>
      <c r="U50" s="43"/>
      <c r="V50" s="43"/>
      <c r="W50" s="43"/>
      <c r="X50" s="43"/>
      <c r="Y50" s="43"/>
      <c r="Z50" s="43"/>
      <c r="AA50" s="43"/>
      <c r="AB50" s="43"/>
      <c r="AC50" s="43"/>
    </row>
    <row r="51" spans="1:29" s="269" customFormat="1" x14ac:dyDescent="0.2">
      <c r="A51" s="43"/>
      <c r="B51" s="43"/>
      <c r="C51" s="43"/>
      <c r="D51" s="43"/>
      <c r="E51" s="266"/>
      <c r="F51" s="278"/>
      <c r="G51" s="278"/>
      <c r="H51" s="279"/>
      <c r="I51" s="279"/>
      <c r="J51" s="278"/>
      <c r="K51" s="278"/>
      <c r="L51" s="278"/>
      <c r="M51" s="278"/>
      <c r="N51" s="278"/>
      <c r="O51" s="43"/>
      <c r="P51" s="43"/>
      <c r="Q51" s="43"/>
      <c r="R51" s="43"/>
      <c r="S51" s="43"/>
      <c r="T51" s="43"/>
      <c r="U51" s="43"/>
      <c r="V51" s="43"/>
      <c r="W51" s="43"/>
      <c r="X51" s="43"/>
      <c r="Y51" s="43"/>
      <c r="Z51" s="43"/>
      <c r="AA51" s="43"/>
      <c r="AB51" s="43"/>
      <c r="AC51" s="43"/>
    </row>
    <row r="52" spans="1:29" s="269" customFormat="1" x14ac:dyDescent="0.2">
      <c r="A52" s="43"/>
      <c r="B52" s="43"/>
      <c r="C52" s="43"/>
      <c r="D52" s="43"/>
      <c r="E52" s="266"/>
      <c r="F52" s="278"/>
      <c r="G52" s="278"/>
      <c r="H52" s="279"/>
      <c r="I52" s="279"/>
      <c r="J52" s="278"/>
      <c r="K52" s="278"/>
      <c r="L52" s="278"/>
      <c r="M52" s="278"/>
      <c r="N52" s="278"/>
      <c r="O52" s="43"/>
      <c r="P52" s="43"/>
      <c r="Q52" s="43"/>
      <c r="R52" s="43"/>
      <c r="S52" s="43"/>
      <c r="T52" s="43"/>
      <c r="U52" s="43"/>
      <c r="V52" s="43"/>
      <c r="W52" s="43"/>
      <c r="X52" s="43"/>
      <c r="Y52" s="43"/>
      <c r="Z52" s="43"/>
      <c r="AA52" s="43"/>
      <c r="AB52" s="43"/>
      <c r="AC52" s="43"/>
    </row>
    <row r="53" spans="1:29" s="269" customFormat="1" x14ac:dyDescent="0.2">
      <c r="A53" s="43"/>
      <c r="B53" s="43"/>
      <c r="C53" s="43"/>
      <c r="D53" s="43"/>
      <c r="E53" s="266"/>
      <c r="F53" s="278"/>
      <c r="G53" s="278"/>
      <c r="H53" s="279"/>
      <c r="I53" s="279"/>
      <c r="J53" s="278"/>
      <c r="K53" s="278"/>
      <c r="L53" s="278"/>
      <c r="M53" s="278"/>
      <c r="N53" s="278"/>
      <c r="O53" s="43"/>
      <c r="P53" s="43"/>
      <c r="Q53" s="43"/>
      <c r="R53" s="43"/>
      <c r="S53" s="43"/>
      <c r="T53" s="43"/>
      <c r="U53" s="43"/>
      <c r="V53" s="43"/>
      <c r="W53" s="43"/>
      <c r="X53" s="43"/>
      <c r="Y53" s="43"/>
      <c r="Z53" s="43"/>
      <c r="AA53" s="43"/>
      <c r="AB53" s="43"/>
      <c r="AC53" s="43"/>
    </row>
    <row r="54" spans="1:29" s="269" customFormat="1" x14ac:dyDescent="0.2">
      <c r="A54" s="43"/>
      <c r="B54" s="43"/>
      <c r="C54" s="43"/>
      <c r="D54" s="43"/>
      <c r="E54" s="266"/>
      <c r="F54" s="278"/>
      <c r="G54" s="278"/>
      <c r="H54" s="279"/>
      <c r="I54" s="279"/>
      <c r="J54" s="278"/>
      <c r="K54" s="278"/>
      <c r="L54" s="278"/>
      <c r="M54" s="278"/>
      <c r="N54" s="278"/>
      <c r="O54" s="43"/>
      <c r="P54" s="43"/>
      <c r="Q54" s="43"/>
      <c r="R54" s="43"/>
      <c r="S54" s="43"/>
      <c r="T54" s="43"/>
      <c r="U54" s="43"/>
      <c r="V54" s="43"/>
      <c r="W54" s="43"/>
      <c r="X54" s="43"/>
      <c r="Y54" s="43"/>
      <c r="Z54" s="43"/>
      <c r="AA54" s="43"/>
      <c r="AB54" s="43"/>
      <c r="AC54" s="43"/>
    </row>
    <row r="55" spans="1:29" s="269" customFormat="1" x14ac:dyDescent="0.2">
      <c r="A55" s="43"/>
      <c r="B55" s="43"/>
      <c r="C55" s="43"/>
      <c r="D55" s="43"/>
      <c r="E55" s="266"/>
      <c r="F55" s="278"/>
      <c r="G55" s="278"/>
      <c r="H55" s="279"/>
      <c r="I55" s="279"/>
      <c r="J55" s="278"/>
      <c r="K55" s="278"/>
      <c r="L55" s="278"/>
      <c r="M55" s="278"/>
      <c r="N55" s="278"/>
      <c r="O55" s="43"/>
      <c r="P55" s="43"/>
      <c r="Q55" s="43"/>
      <c r="R55" s="43"/>
      <c r="S55" s="43"/>
      <c r="T55" s="43"/>
      <c r="U55" s="43"/>
      <c r="V55" s="43"/>
      <c r="W55" s="43"/>
      <c r="X55" s="43"/>
      <c r="Y55" s="43"/>
      <c r="Z55" s="43"/>
      <c r="AA55" s="43"/>
      <c r="AB55" s="43"/>
      <c r="AC55" s="43"/>
    </row>
    <row r="56" spans="1:29" s="269" customFormat="1" x14ac:dyDescent="0.2">
      <c r="A56" s="43"/>
      <c r="B56" s="43"/>
      <c r="C56" s="43"/>
      <c r="D56" s="43"/>
      <c r="E56" s="266"/>
      <c r="F56" s="278"/>
      <c r="G56" s="278"/>
      <c r="H56" s="279"/>
      <c r="I56" s="279"/>
      <c r="J56" s="278"/>
      <c r="K56" s="278"/>
      <c r="L56" s="278"/>
      <c r="M56" s="278"/>
      <c r="N56" s="278"/>
      <c r="O56" s="43"/>
      <c r="P56" s="43"/>
      <c r="Q56" s="43"/>
      <c r="R56" s="43"/>
      <c r="S56" s="43"/>
      <c r="T56" s="43"/>
      <c r="U56" s="43"/>
      <c r="V56" s="43"/>
      <c r="W56" s="43"/>
      <c r="X56" s="43"/>
      <c r="Y56" s="43"/>
      <c r="Z56" s="43"/>
      <c r="AA56" s="43"/>
      <c r="AB56" s="43"/>
      <c r="AC56" s="43"/>
    </row>
    <row r="57" spans="1:29" s="269" customFormat="1" x14ac:dyDescent="0.2">
      <c r="A57" s="43"/>
      <c r="B57" s="43"/>
      <c r="C57" s="43"/>
      <c r="D57" s="43"/>
      <c r="E57" s="266"/>
      <c r="F57" s="278"/>
      <c r="G57" s="278"/>
      <c r="H57" s="279"/>
      <c r="I57" s="279"/>
      <c r="J57" s="278"/>
      <c r="K57" s="278"/>
      <c r="L57" s="278"/>
      <c r="M57" s="278"/>
      <c r="N57" s="278"/>
      <c r="O57" s="43"/>
      <c r="P57" s="43"/>
      <c r="Q57" s="43"/>
      <c r="R57" s="43"/>
      <c r="S57" s="43"/>
      <c r="T57" s="43"/>
      <c r="U57" s="43"/>
      <c r="V57" s="43"/>
      <c r="W57" s="43"/>
      <c r="X57" s="43"/>
      <c r="Y57" s="43"/>
      <c r="Z57" s="43"/>
      <c r="AA57" s="43"/>
      <c r="AB57" s="43"/>
      <c r="AC57" s="43"/>
    </row>
    <row r="58" spans="1:29" s="269" customFormat="1" x14ac:dyDescent="0.2">
      <c r="A58" s="43"/>
      <c r="B58" s="43"/>
      <c r="C58" s="43"/>
      <c r="D58" s="43"/>
      <c r="E58" s="266"/>
      <c r="F58" s="278"/>
      <c r="G58" s="278"/>
      <c r="H58" s="279"/>
      <c r="I58" s="279"/>
      <c r="J58" s="278"/>
      <c r="K58" s="278"/>
      <c r="L58" s="278"/>
      <c r="M58" s="278"/>
      <c r="N58" s="278"/>
      <c r="O58" s="43"/>
      <c r="P58" s="43"/>
      <c r="Q58" s="43"/>
      <c r="R58" s="43"/>
      <c r="S58" s="43"/>
      <c r="T58" s="43"/>
      <c r="U58" s="43"/>
      <c r="V58" s="43"/>
      <c r="W58" s="43"/>
      <c r="X58" s="43"/>
      <c r="Y58" s="43"/>
      <c r="Z58" s="43"/>
      <c r="AA58" s="43"/>
      <c r="AB58" s="43"/>
      <c r="AC58" s="43"/>
    </row>
    <row r="59" spans="1:29" s="269" customFormat="1" x14ac:dyDescent="0.2">
      <c r="A59" s="43"/>
      <c r="B59" s="43"/>
      <c r="C59" s="43"/>
      <c r="D59" s="43"/>
      <c r="E59" s="266"/>
      <c r="F59" s="278"/>
      <c r="G59" s="278"/>
      <c r="H59" s="279"/>
      <c r="I59" s="279"/>
      <c r="J59" s="278"/>
      <c r="K59" s="278"/>
      <c r="L59" s="278"/>
      <c r="M59" s="278"/>
      <c r="N59" s="278"/>
      <c r="O59" s="43"/>
      <c r="P59" s="43"/>
      <c r="Q59" s="43"/>
      <c r="R59" s="43"/>
      <c r="S59" s="43"/>
      <c r="T59" s="43"/>
      <c r="U59" s="43"/>
      <c r="V59" s="43"/>
      <c r="W59" s="43"/>
      <c r="X59" s="43"/>
      <c r="Y59" s="43"/>
      <c r="Z59" s="43"/>
      <c r="AA59" s="43"/>
      <c r="AB59" s="43"/>
      <c r="AC59" s="43"/>
    </row>
    <row r="60" spans="1:29" s="269" customFormat="1" x14ac:dyDescent="0.2">
      <c r="A60" s="43"/>
      <c r="B60" s="43"/>
      <c r="C60" s="43"/>
      <c r="D60" s="43"/>
      <c r="E60" s="266"/>
      <c r="F60" s="278"/>
      <c r="G60" s="278"/>
      <c r="H60" s="279"/>
      <c r="I60" s="279"/>
      <c r="J60" s="278"/>
      <c r="K60" s="278"/>
      <c r="L60" s="278"/>
      <c r="M60" s="278"/>
      <c r="N60" s="278"/>
      <c r="O60" s="43"/>
      <c r="P60" s="43"/>
      <c r="Q60" s="43"/>
      <c r="R60" s="43"/>
      <c r="S60" s="43"/>
      <c r="T60" s="43"/>
      <c r="U60" s="43"/>
      <c r="V60" s="43"/>
      <c r="W60" s="43"/>
      <c r="X60" s="43"/>
      <c r="Y60" s="43"/>
      <c r="Z60" s="43"/>
      <c r="AA60" s="43"/>
      <c r="AB60" s="43"/>
      <c r="AC60" s="43"/>
    </row>
    <row r="61" spans="1:29" s="269" customFormat="1" x14ac:dyDescent="0.2">
      <c r="A61" s="43"/>
      <c r="B61" s="43"/>
      <c r="C61" s="43"/>
      <c r="D61" s="43"/>
      <c r="E61" s="266"/>
      <c r="F61" s="278"/>
      <c r="G61" s="278"/>
      <c r="H61" s="279"/>
      <c r="I61" s="279"/>
      <c r="J61" s="278"/>
      <c r="K61" s="278"/>
      <c r="L61" s="278"/>
      <c r="M61" s="278"/>
      <c r="N61" s="278"/>
      <c r="O61" s="43"/>
      <c r="P61" s="43"/>
      <c r="Q61" s="43"/>
      <c r="R61" s="43"/>
      <c r="S61" s="43"/>
      <c r="T61" s="43"/>
      <c r="U61" s="43"/>
      <c r="V61" s="43"/>
      <c r="W61" s="43"/>
      <c r="X61" s="43"/>
      <c r="Y61" s="43"/>
      <c r="Z61" s="43"/>
      <c r="AA61" s="43"/>
      <c r="AB61" s="43"/>
      <c r="AC61" s="43"/>
    </row>
    <row r="62" spans="1:29" s="269" customFormat="1" x14ac:dyDescent="0.2">
      <c r="A62" s="43"/>
      <c r="B62" s="43"/>
      <c r="C62" s="43"/>
      <c r="D62" s="43"/>
      <c r="E62" s="266"/>
      <c r="F62" s="278"/>
      <c r="G62" s="278"/>
      <c r="H62" s="279"/>
      <c r="I62" s="279"/>
      <c r="J62" s="278"/>
      <c r="K62" s="278"/>
      <c r="L62" s="278"/>
      <c r="M62" s="278"/>
      <c r="N62" s="278"/>
      <c r="O62" s="43"/>
      <c r="P62" s="43"/>
      <c r="Q62" s="43"/>
      <c r="R62" s="43"/>
      <c r="S62" s="43"/>
      <c r="T62" s="43"/>
      <c r="U62" s="43"/>
      <c r="V62" s="43"/>
      <c r="W62" s="43"/>
      <c r="X62" s="43"/>
      <c r="Y62" s="43"/>
      <c r="Z62" s="43"/>
      <c r="AA62" s="43"/>
      <c r="AB62" s="43"/>
      <c r="AC62" s="43"/>
    </row>
    <row r="63" spans="1:29" s="269" customFormat="1" x14ac:dyDescent="0.2">
      <c r="A63" s="43"/>
      <c r="B63" s="43"/>
      <c r="C63" s="43"/>
      <c r="D63" s="43"/>
      <c r="E63" s="266"/>
      <c r="F63" s="278"/>
      <c r="G63" s="278"/>
      <c r="H63" s="279"/>
      <c r="I63" s="279"/>
      <c r="J63" s="278"/>
      <c r="K63" s="278"/>
      <c r="L63" s="278"/>
      <c r="M63" s="278"/>
      <c r="N63" s="278"/>
      <c r="O63" s="43"/>
      <c r="P63" s="43"/>
      <c r="Q63" s="43"/>
      <c r="R63" s="43"/>
      <c r="S63" s="43"/>
      <c r="T63" s="43"/>
      <c r="U63" s="43"/>
      <c r="V63" s="43"/>
      <c r="W63" s="43"/>
      <c r="X63" s="43"/>
      <c r="Y63" s="43"/>
      <c r="Z63" s="43"/>
      <c r="AA63" s="43"/>
      <c r="AB63" s="43"/>
      <c r="AC63" s="43"/>
    </row>
    <row r="64" spans="1:29" x14ac:dyDescent="0.2">
      <c r="A64" s="43"/>
      <c r="B64" s="43"/>
      <c r="C64" s="43"/>
      <c r="D64" s="43"/>
      <c r="E64" s="266"/>
      <c r="F64" s="278"/>
      <c r="G64" s="278"/>
      <c r="H64" s="279"/>
      <c r="I64" s="279"/>
      <c r="J64" s="278"/>
      <c r="K64" s="278"/>
      <c r="L64" s="278"/>
      <c r="M64" s="278"/>
      <c r="N64" s="278"/>
      <c r="O64" s="43"/>
      <c r="P64" s="43"/>
      <c r="Q64" s="43"/>
      <c r="R64" s="43"/>
      <c r="S64" s="43"/>
      <c r="T64" s="43"/>
      <c r="U64" s="43"/>
      <c r="V64" s="43"/>
      <c r="W64" s="43"/>
      <c r="X64" s="43"/>
      <c r="Y64" s="43"/>
      <c r="Z64" s="43"/>
      <c r="AA64" s="43"/>
      <c r="AB64" s="43"/>
      <c r="AC64" s="43"/>
    </row>
    <row r="65" spans="1:29" x14ac:dyDescent="0.2">
      <c r="A65" s="43"/>
      <c r="B65" s="43"/>
      <c r="C65" s="43"/>
      <c r="D65" s="43"/>
      <c r="E65" s="266"/>
      <c r="F65" s="278"/>
      <c r="G65" s="278"/>
      <c r="H65" s="279"/>
      <c r="I65" s="279"/>
      <c r="J65" s="278"/>
      <c r="K65" s="278"/>
      <c r="L65" s="278"/>
      <c r="M65" s="278"/>
      <c r="N65" s="278"/>
      <c r="O65" s="43"/>
      <c r="P65" s="43"/>
      <c r="Q65" s="43"/>
      <c r="R65" s="43"/>
      <c r="S65" s="43"/>
      <c r="T65" s="43"/>
      <c r="U65" s="43"/>
      <c r="V65" s="43"/>
      <c r="W65" s="43"/>
      <c r="X65" s="43"/>
      <c r="Y65" s="43"/>
      <c r="Z65" s="43"/>
      <c r="AA65" s="43"/>
      <c r="AB65" s="43"/>
      <c r="AC65" s="43"/>
    </row>
    <row r="66" spans="1:29" x14ac:dyDescent="0.2">
      <c r="A66" s="43"/>
      <c r="B66" s="43"/>
      <c r="C66" s="43"/>
      <c r="D66" s="43"/>
      <c r="E66" s="266"/>
      <c r="F66" s="278"/>
      <c r="G66" s="278"/>
      <c r="H66" s="279"/>
      <c r="I66" s="279"/>
      <c r="J66" s="278"/>
      <c r="K66" s="278"/>
      <c r="L66" s="278"/>
      <c r="M66" s="278"/>
      <c r="N66" s="278"/>
      <c r="O66" s="43"/>
      <c r="P66" s="43"/>
      <c r="Q66" s="43"/>
      <c r="R66" s="43"/>
      <c r="S66" s="43"/>
      <c r="T66" s="43"/>
      <c r="U66" s="43"/>
      <c r="V66" s="43"/>
      <c r="W66" s="43"/>
      <c r="X66" s="43"/>
      <c r="Y66" s="43"/>
      <c r="Z66" s="43"/>
      <c r="AA66" s="43"/>
      <c r="AB66" s="43"/>
      <c r="AC66" s="43"/>
    </row>
    <row r="67" spans="1:29" x14ac:dyDescent="0.2">
      <c r="A67" s="43"/>
      <c r="B67" s="43"/>
      <c r="C67" s="43"/>
      <c r="D67" s="43"/>
      <c r="E67" s="266"/>
      <c r="F67" s="278"/>
      <c r="G67" s="278"/>
      <c r="H67" s="279"/>
      <c r="I67" s="279"/>
      <c r="J67" s="278"/>
      <c r="K67" s="278"/>
      <c r="L67" s="278"/>
      <c r="M67" s="278"/>
      <c r="N67" s="278"/>
      <c r="O67" s="43"/>
      <c r="P67" s="43"/>
      <c r="Q67" s="43"/>
      <c r="R67" s="43"/>
      <c r="S67" s="43"/>
      <c r="T67" s="43"/>
      <c r="U67" s="43"/>
      <c r="V67" s="43"/>
      <c r="W67" s="43"/>
      <c r="X67" s="43"/>
      <c r="Y67" s="43"/>
      <c r="Z67" s="43"/>
      <c r="AA67" s="43"/>
      <c r="AB67" s="43"/>
      <c r="AC67" s="43"/>
    </row>
    <row r="68" spans="1:29" x14ac:dyDescent="0.2">
      <c r="A68" s="43"/>
      <c r="B68" s="43"/>
      <c r="C68" s="43"/>
      <c r="D68" s="43"/>
      <c r="E68" s="266"/>
      <c r="F68" s="278"/>
      <c r="G68" s="278"/>
      <c r="H68" s="279"/>
      <c r="I68" s="279"/>
      <c r="J68" s="278"/>
      <c r="K68" s="278"/>
      <c r="L68" s="278"/>
      <c r="M68" s="278"/>
      <c r="N68" s="278"/>
      <c r="O68" s="43"/>
      <c r="P68" s="43"/>
      <c r="Q68" s="43"/>
      <c r="R68" s="43"/>
      <c r="S68" s="43"/>
      <c r="T68" s="43"/>
      <c r="U68" s="43"/>
      <c r="V68" s="43"/>
      <c r="W68" s="43"/>
      <c r="X68" s="43"/>
      <c r="Y68" s="43"/>
      <c r="Z68" s="43"/>
      <c r="AA68" s="43"/>
      <c r="AB68" s="43"/>
      <c r="AC68" s="43"/>
    </row>
    <row r="69" spans="1:29" x14ac:dyDescent="0.2">
      <c r="A69" s="43"/>
      <c r="B69" s="43"/>
      <c r="C69" s="43"/>
      <c r="D69" s="43"/>
      <c r="E69" s="266"/>
      <c r="F69" s="278"/>
      <c r="G69" s="278"/>
      <c r="H69" s="279"/>
      <c r="I69" s="279"/>
      <c r="J69" s="278"/>
      <c r="K69" s="278"/>
      <c r="L69" s="278"/>
      <c r="M69" s="278"/>
      <c r="N69" s="278"/>
      <c r="O69" s="43"/>
      <c r="P69" s="43"/>
      <c r="Q69" s="43"/>
      <c r="R69" s="43"/>
      <c r="S69" s="43"/>
      <c r="T69" s="43"/>
      <c r="U69" s="43"/>
      <c r="V69" s="43"/>
      <c r="W69" s="43"/>
      <c r="X69" s="43"/>
      <c r="Y69" s="43"/>
      <c r="Z69" s="43"/>
      <c r="AA69" s="43"/>
      <c r="AB69" s="43"/>
      <c r="AC69" s="43"/>
    </row>
    <row r="70" spans="1:29" x14ac:dyDescent="0.2">
      <c r="A70" s="43"/>
      <c r="B70" s="43"/>
      <c r="C70" s="43"/>
      <c r="D70" s="43"/>
      <c r="E70" s="266"/>
      <c r="F70" s="278"/>
      <c r="G70" s="278"/>
      <c r="H70" s="279"/>
      <c r="I70" s="279"/>
      <c r="J70" s="278"/>
      <c r="K70" s="278"/>
      <c r="L70" s="278"/>
      <c r="M70" s="278"/>
      <c r="N70" s="278"/>
      <c r="O70" s="43"/>
      <c r="P70" s="43"/>
      <c r="Q70" s="43"/>
      <c r="R70" s="43"/>
      <c r="S70" s="43"/>
      <c r="T70" s="43"/>
      <c r="U70" s="43"/>
      <c r="V70" s="43"/>
      <c r="W70" s="43"/>
      <c r="X70" s="43"/>
      <c r="Y70" s="43"/>
      <c r="Z70" s="43"/>
      <c r="AA70" s="43"/>
      <c r="AB70" s="43"/>
      <c r="AC70" s="43"/>
    </row>
    <row r="71" spans="1:29" x14ac:dyDescent="0.2">
      <c r="A71" s="43"/>
      <c r="B71" s="43"/>
      <c r="C71" s="43"/>
      <c r="D71" s="43"/>
      <c r="E71" s="266"/>
      <c r="F71" s="278"/>
      <c r="G71" s="278"/>
      <c r="H71" s="279"/>
      <c r="I71" s="279"/>
      <c r="J71" s="278"/>
      <c r="K71" s="278"/>
      <c r="L71" s="278"/>
      <c r="M71" s="278"/>
      <c r="N71" s="278"/>
      <c r="O71" s="43"/>
      <c r="P71" s="43"/>
      <c r="Q71" s="43"/>
      <c r="R71" s="43"/>
      <c r="S71" s="43"/>
      <c r="T71" s="43"/>
      <c r="U71" s="43"/>
      <c r="V71" s="43"/>
      <c r="W71" s="43"/>
      <c r="X71" s="43"/>
      <c r="Y71" s="43"/>
      <c r="Z71" s="43"/>
      <c r="AA71" s="43"/>
      <c r="AB71" s="43"/>
      <c r="AC71" s="43"/>
    </row>
    <row r="72" spans="1:29" x14ac:dyDescent="0.2">
      <c r="A72" s="43"/>
      <c r="B72" s="43"/>
      <c r="C72" s="43"/>
      <c r="D72" s="43"/>
      <c r="E72" s="266"/>
      <c r="F72" s="278"/>
      <c r="G72" s="278"/>
      <c r="H72" s="279"/>
      <c r="I72" s="279"/>
      <c r="J72" s="278"/>
      <c r="K72" s="278"/>
      <c r="L72" s="278"/>
      <c r="M72" s="278"/>
      <c r="N72" s="278"/>
      <c r="O72" s="43"/>
      <c r="P72" s="43"/>
      <c r="Q72" s="43"/>
      <c r="R72" s="43"/>
      <c r="S72" s="43"/>
      <c r="T72" s="43"/>
      <c r="U72" s="43"/>
      <c r="V72" s="43"/>
      <c r="W72" s="43"/>
      <c r="X72" s="43"/>
      <c r="Y72" s="43"/>
      <c r="Z72" s="43"/>
      <c r="AA72" s="43"/>
      <c r="AB72" s="43"/>
      <c r="AC72" s="43"/>
    </row>
    <row r="73" spans="1:29" x14ac:dyDescent="0.2">
      <c r="A73" s="43"/>
      <c r="B73" s="43"/>
      <c r="C73" s="43"/>
      <c r="D73" s="43"/>
      <c r="E73" s="266"/>
      <c r="F73" s="278"/>
      <c r="G73" s="278"/>
      <c r="H73" s="279"/>
      <c r="I73" s="279"/>
      <c r="J73" s="278"/>
      <c r="K73" s="278"/>
      <c r="L73" s="278"/>
      <c r="M73" s="278"/>
      <c r="N73" s="278"/>
      <c r="O73" s="43"/>
      <c r="P73" s="43"/>
      <c r="Q73" s="43"/>
      <c r="R73" s="43"/>
      <c r="S73" s="43"/>
      <c r="T73" s="43"/>
      <c r="U73" s="43"/>
      <c r="V73" s="43"/>
      <c r="W73" s="43"/>
      <c r="X73" s="43"/>
      <c r="Y73" s="43"/>
      <c r="Z73" s="43"/>
      <c r="AA73" s="43"/>
      <c r="AB73" s="43"/>
      <c r="AC73" s="43"/>
    </row>
    <row r="74" spans="1:29" x14ac:dyDescent="0.2">
      <c r="A74" s="43"/>
      <c r="B74" s="43"/>
      <c r="C74" s="43"/>
      <c r="D74" s="43"/>
      <c r="E74" s="266"/>
      <c r="F74" s="278"/>
      <c r="G74" s="278"/>
      <c r="H74" s="279"/>
      <c r="I74" s="279"/>
      <c r="J74" s="278"/>
      <c r="K74" s="278"/>
      <c r="L74" s="278"/>
      <c r="M74" s="278"/>
      <c r="N74" s="278"/>
      <c r="O74" s="43"/>
      <c r="P74" s="43"/>
      <c r="Q74" s="43"/>
      <c r="R74" s="43"/>
      <c r="S74" s="43"/>
      <c r="T74" s="43"/>
      <c r="U74" s="43"/>
      <c r="V74" s="43"/>
      <c r="W74" s="43"/>
      <c r="X74" s="43"/>
      <c r="Y74" s="43"/>
      <c r="Z74" s="43"/>
      <c r="AA74" s="43"/>
      <c r="AB74" s="43"/>
      <c r="AC74" s="43"/>
    </row>
    <row r="75" spans="1:29" x14ac:dyDescent="0.2">
      <c r="A75" s="43"/>
      <c r="B75" s="43"/>
      <c r="C75" s="43"/>
      <c r="D75" s="43"/>
      <c r="E75" s="266"/>
      <c r="F75" s="278"/>
      <c r="G75" s="278"/>
      <c r="H75" s="279"/>
      <c r="I75" s="279"/>
      <c r="J75" s="278"/>
      <c r="K75" s="278"/>
      <c r="L75" s="278"/>
      <c r="M75" s="278"/>
      <c r="N75" s="278"/>
      <c r="O75" s="43"/>
      <c r="P75" s="43"/>
      <c r="Q75" s="43"/>
      <c r="R75" s="43"/>
      <c r="S75" s="43"/>
      <c r="T75" s="43"/>
      <c r="U75" s="43"/>
      <c r="V75" s="43"/>
      <c r="W75" s="43"/>
      <c r="X75" s="43"/>
      <c r="Y75" s="43"/>
      <c r="Z75" s="43"/>
      <c r="AA75" s="43"/>
      <c r="AB75" s="43"/>
      <c r="AC75" s="43"/>
    </row>
    <row r="76" spans="1:29" x14ac:dyDescent="0.2">
      <c r="A76" s="43"/>
      <c r="B76" s="43"/>
      <c r="C76" s="43"/>
      <c r="D76" s="43"/>
      <c r="E76" s="266"/>
      <c r="F76" s="278"/>
      <c r="G76" s="278"/>
      <c r="H76" s="279"/>
      <c r="I76" s="279"/>
      <c r="J76" s="278"/>
      <c r="K76" s="278"/>
      <c r="L76" s="278"/>
      <c r="M76" s="278"/>
      <c r="N76" s="278"/>
      <c r="O76" s="43"/>
      <c r="P76" s="43"/>
      <c r="Q76" s="43"/>
      <c r="R76" s="43"/>
      <c r="S76" s="43"/>
      <c r="T76" s="43"/>
      <c r="U76" s="43"/>
      <c r="V76" s="43"/>
      <c r="W76" s="43"/>
      <c r="X76" s="43"/>
      <c r="Y76" s="43"/>
      <c r="Z76" s="43"/>
      <c r="AA76" s="43"/>
      <c r="AB76" s="43"/>
      <c r="AC76" s="43"/>
    </row>
    <row r="77" spans="1:29" x14ac:dyDescent="0.2">
      <c r="A77" s="43"/>
      <c r="B77" s="43"/>
      <c r="C77" s="43"/>
      <c r="D77" s="43"/>
      <c r="E77" s="266"/>
      <c r="F77" s="278"/>
      <c r="G77" s="278"/>
      <c r="H77" s="279"/>
      <c r="I77" s="279"/>
      <c r="J77" s="278"/>
      <c r="K77" s="278"/>
      <c r="L77" s="278"/>
      <c r="M77" s="278"/>
      <c r="N77" s="278"/>
      <c r="O77" s="43"/>
      <c r="P77" s="43"/>
      <c r="Q77" s="43"/>
      <c r="R77" s="43"/>
      <c r="S77" s="43"/>
      <c r="T77" s="43"/>
      <c r="U77" s="43"/>
      <c r="V77" s="43"/>
      <c r="W77" s="43"/>
      <c r="X77" s="43"/>
      <c r="Y77" s="43"/>
      <c r="Z77" s="43"/>
      <c r="AA77" s="43"/>
      <c r="AB77" s="43"/>
      <c r="AC77" s="43"/>
    </row>
    <row r="78" spans="1:29" x14ac:dyDescent="0.2">
      <c r="A78" s="43"/>
      <c r="B78" s="43"/>
      <c r="C78" s="43"/>
      <c r="D78" s="43"/>
      <c r="E78" s="266"/>
      <c r="F78" s="278"/>
      <c r="G78" s="278"/>
      <c r="H78" s="279"/>
      <c r="I78" s="279"/>
      <c r="J78" s="278"/>
      <c r="K78" s="278"/>
      <c r="L78" s="278"/>
      <c r="M78" s="278"/>
      <c r="N78" s="278"/>
      <c r="O78" s="43"/>
      <c r="P78" s="43"/>
      <c r="Q78" s="43"/>
      <c r="R78" s="43"/>
      <c r="S78" s="43"/>
      <c r="T78" s="43"/>
      <c r="U78" s="43"/>
      <c r="V78" s="43"/>
      <c r="W78" s="43"/>
      <c r="X78" s="43"/>
      <c r="Y78" s="43"/>
      <c r="Z78" s="43"/>
      <c r="AA78" s="43"/>
      <c r="AB78" s="43"/>
      <c r="AC78" s="43"/>
    </row>
    <row r="79" spans="1:29" x14ac:dyDescent="0.2">
      <c r="A79" s="43"/>
      <c r="B79" s="43"/>
      <c r="C79" s="43"/>
      <c r="D79" s="43"/>
      <c r="E79" s="266"/>
      <c r="F79" s="278"/>
      <c r="G79" s="278"/>
      <c r="H79" s="279"/>
      <c r="I79" s="279"/>
      <c r="J79" s="278"/>
      <c r="K79" s="278"/>
      <c r="L79" s="278"/>
      <c r="M79" s="278"/>
      <c r="N79" s="278"/>
      <c r="O79" s="43"/>
      <c r="P79" s="43"/>
      <c r="Q79" s="43"/>
      <c r="R79" s="43"/>
      <c r="S79" s="43"/>
      <c r="T79" s="43"/>
      <c r="U79" s="43"/>
      <c r="V79" s="43"/>
      <c r="W79" s="43"/>
      <c r="X79" s="43"/>
      <c r="Y79" s="43"/>
      <c r="Z79" s="43"/>
      <c r="AA79" s="43"/>
      <c r="AB79" s="43"/>
      <c r="AC79" s="43"/>
    </row>
    <row r="80" spans="1:29" x14ac:dyDescent="0.2">
      <c r="A80" s="43"/>
      <c r="B80" s="43"/>
      <c r="C80" s="43"/>
      <c r="D80" s="43"/>
      <c r="E80" s="266"/>
      <c r="F80" s="278"/>
      <c r="G80" s="278"/>
      <c r="H80" s="279"/>
      <c r="I80" s="279"/>
      <c r="J80" s="278"/>
      <c r="K80" s="278"/>
      <c r="L80" s="278"/>
      <c r="M80" s="278"/>
      <c r="N80" s="278"/>
      <c r="O80" s="43"/>
      <c r="P80" s="43"/>
      <c r="Q80" s="43"/>
      <c r="R80" s="43"/>
      <c r="S80" s="43"/>
      <c r="T80" s="43"/>
      <c r="U80" s="43"/>
      <c r="V80" s="43"/>
      <c r="W80" s="43"/>
      <c r="X80" s="43"/>
      <c r="Y80" s="43"/>
      <c r="Z80" s="43"/>
      <c r="AA80" s="43"/>
      <c r="AB80" s="43"/>
      <c r="AC80" s="43"/>
    </row>
    <row r="81" spans="1:29" x14ac:dyDescent="0.2">
      <c r="A81" s="43"/>
      <c r="B81" s="43"/>
      <c r="C81" s="43"/>
      <c r="D81" s="43"/>
      <c r="E81" s="266"/>
      <c r="F81" s="278"/>
      <c r="G81" s="278"/>
      <c r="H81" s="279"/>
      <c r="I81" s="279"/>
      <c r="J81" s="278"/>
      <c r="K81" s="278"/>
      <c r="L81" s="278"/>
      <c r="M81" s="278"/>
      <c r="N81" s="278"/>
      <c r="O81" s="43"/>
      <c r="P81" s="43"/>
      <c r="Q81" s="43"/>
      <c r="R81" s="43"/>
      <c r="S81" s="43"/>
      <c r="T81" s="43"/>
      <c r="U81" s="43"/>
      <c r="V81" s="43"/>
      <c r="W81" s="43"/>
      <c r="X81" s="43"/>
      <c r="Y81" s="43"/>
      <c r="Z81" s="43"/>
      <c r="AA81" s="43"/>
      <c r="AB81" s="43"/>
      <c r="AC81" s="43"/>
    </row>
    <row r="82" spans="1:29" x14ac:dyDescent="0.2">
      <c r="A82" s="43"/>
      <c r="B82" s="43"/>
      <c r="C82" s="43"/>
      <c r="D82" s="43"/>
      <c r="E82" s="266"/>
      <c r="F82" s="278"/>
      <c r="G82" s="278"/>
      <c r="H82" s="279"/>
      <c r="I82" s="279"/>
      <c r="J82" s="278"/>
      <c r="K82" s="278"/>
      <c r="L82" s="278"/>
      <c r="M82" s="278"/>
      <c r="N82" s="278"/>
      <c r="O82" s="43"/>
      <c r="P82" s="43"/>
      <c r="Q82" s="43"/>
      <c r="R82" s="43"/>
      <c r="S82" s="43"/>
      <c r="T82" s="43"/>
      <c r="U82" s="43"/>
      <c r="V82" s="43"/>
      <c r="W82" s="43"/>
      <c r="X82" s="43"/>
      <c r="Y82" s="43"/>
      <c r="Z82" s="43"/>
      <c r="AA82" s="43"/>
      <c r="AB82" s="43"/>
      <c r="AC82" s="43"/>
    </row>
    <row r="83" spans="1:29" x14ac:dyDescent="0.2">
      <c r="A83" s="43"/>
      <c r="B83" s="43"/>
      <c r="C83" s="43"/>
      <c r="D83" s="43"/>
      <c r="E83" s="266"/>
      <c r="F83" s="278"/>
      <c r="G83" s="278"/>
      <c r="H83" s="279"/>
      <c r="I83" s="279"/>
      <c r="J83" s="278"/>
      <c r="K83" s="278"/>
      <c r="L83" s="278"/>
      <c r="M83" s="278"/>
      <c r="N83" s="278"/>
      <c r="O83" s="43"/>
      <c r="P83" s="43"/>
      <c r="Q83" s="43"/>
      <c r="R83" s="43"/>
      <c r="S83" s="43"/>
      <c r="T83" s="43"/>
      <c r="U83" s="43"/>
      <c r="V83" s="43"/>
      <c r="W83" s="43"/>
      <c r="X83" s="43"/>
      <c r="Y83" s="43"/>
      <c r="Z83" s="43"/>
      <c r="AA83" s="43"/>
      <c r="AB83" s="43"/>
      <c r="AC83" s="43"/>
    </row>
    <row r="84" spans="1:29" x14ac:dyDescent="0.2">
      <c r="A84" s="43"/>
      <c r="B84" s="43"/>
      <c r="C84" s="43"/>
      <c r="D84" s="43"/>
      <c r="E84" s="266"/>
      <c r="F84" s="278"/>
      <c r="G84" s="278"/>
      <c r="H84" s="279"/>
      <c r="I84" s="279"/>
      <c r="J84" s="278"/>
      <c r="K84" s="278"/>
      <c r="L84" s="278"/>
      <c r="M84" s="278"/>
      <c r="N84" s="278"/>
      <c r="O84" s="43"/>
      <c r="P84" s="43"/>
      <c r="Q84" s="43"/>
      <c r="R84" s="43"/>
      <c r="S84" s="43"/>
      <c r="T84" s="43"/>
      <c r="U84" s="43"/>
      <c r="V84" s="43"/>
      <c r="W84" s="43"/>
      <c r="X84" s="43"/>
      <c r="Y84" s="43"/>
      <c r="Z84" s="43"/>
      <c r="AA84" s="43"/>
      <c r="AB84" s="43"/>
      <c r="AC84" s="43"/>
    </row>
    <row r="85" spans="1:29" x14ac:dyDescent="0.2">
      <c r="A85" s="43"/>
      <c r="B85" s="43"/>
      <c r="C85" s="43"/>
      <c r="D85" s="43"/>
      <c r="E85" s="266"/>
      <c r="F85" s="278"/>
      <c r="G85" s="278"/>
      <c r="H85" s="279"/>
      <c r="I85" s="279"/>
      <c r="J85" s="278"/>
      <c r="K85" s="278"/>
      <c r="L85" s="278"/>
      <c r="M85" s="278"/>
      <c r="N85" s="278"/>
      <c r="O85" s="43"/>
      <c r="P85" s="43"/>
      <c r="Q85" s="43"/>
      <c r="R85" s="43"/>
      <c r="S85" s="43"/>
      <c r="T85" s="43"/>
      <c r="U85" s="43"/>
      <c r="V85" s="43"/>
      <c r="W85" s="43"/>
      <c r="X85" s="43"/>
      <c r="Y85" s="43"/>
      <c r="Z85" s="43"/>
      <c r="AA85" s="43"/>
      <c r="AB85" s="43"/>
      <c r="AC85" s="43"/>
    </row>
    <row r="86" spans="1:29" x14ac:dyDescent="0.2">
      <c r="A86" s="43"/>
      <c r="B86" s="43"/>
      <c r="C86" s="43"/>
      <c r="D86" s="43"/>
      <c r="E86" s="266"/>
      <c r="F86" s="278"/>
      <c r="G86" s="278"/>
      <c r="H86" s="279"/>
      <c r="I86" s="279"/>
      <c r="J86" s="278"/>
      <c r="K86" s="278"/>
      <c r="L86" s="278"/>
      <c r="M86" s="278"/>
      <c r="N86" s="278"/>
      <c r="O86" s="43"/>
      <c r="P86" s="43"/>
      <c r="Q86" s="43"/>
      <c r="R86" s="43"/>
      <c r="S86" s="43"/>
      <c r="T86" s="43"/>
      <c r="U86" s="43"/>
      <c r="V86" s="43"/>
      <c r="W86" s="43"/>
      <c r="X86" s="43"/>
      <c r="Y86" s="43"/>
      <c r="Z86" s="43"/>
      <c r="AA86" s="43"/>
      <c r="AB86" s="43"/>
      <c r="AC86" s="43"/>
    </row>
    <row r="87" spans="1:29" x14ac:dyDescent="0.2">
      <c r="A87" s="43"/>
      <c r="B87" s="43"/>
      <c r="C87" s="43"/>
      <c r="D87" s="43"/>
      <c r="E87" s="266"/>
      <c r="F87" s="278"/>
      <c r="G87" s="278"/>
      <c r="H87" s="279"/>
      <c r="I87" s="279"/>
      <c r="J87" s="278"/>
      <c r="K87" s="278"/>
      <c r="L87" s="278"/>
      <c r="M87" s="278"/>
      <c r="N87" s="278"/>
      <c r="O87" s="43"/>
      <c r="P87" s="43"/>
      <c r="Q87" s="43"/>
      <c r="R87" s="43"/>
      <c r="S87" s="43"/>
      <c r="T87" s="43"/>
      <c r="U87" s="43"/>
      <c r="V87" s="43"/>
      <c r="W87" s="43"/>
      <c r="X87" s="43"/>
      <c r="Y87" s="43"/>
      <c r="Z87" s="43"/>
      <c r="AA87" s="43"/>
      <c r="AB87" s="43"/>
      <c r="AC87" s="43"/>
    </row>
    <row r="88" spans="1:29" x14ac:dyDescent="0.2">
      <c r="A88" s="43"/>
      <c r="B88" s="43"/>
      <c r="C88" s="43"/>
      <c r="D88" s="43"/>
      <c r="E88" s="266"/>
      <c r="F88" s="278"/>
      <c r="G88" s="278"/>
      <c r="H88" s="279"/>
      <c r="I88" s="279"/>
      <c r="J88" s="278"/>
      <c r="K88" s="278"/>
      <c r="L88" s="278"/>
      <c r="M88" s="278"/>
      <c r="N88" s="278"/>
      <c r="O88" s="43"/>
      <c r="P88" s="43"/>
      <c r="Q88" s="43"/>
      <c r="R88" s="43"/>
      <c r="S88" s="43"/>
      <c r="T88" s="43"/>
      <c r="U88" s="43"/>
      <c r="V88" s="43"/>
      <c r="W88" s="43"/>
      <c r="X88" s="43"/>
      <c r="Y88" s="43"/>
      <c r="Z88" s="43"/>
      <c r="AA88" s="43"/>
      <c r="AB88" s="43"/>
      <c r="AC88" s="43"/>
    </row>
    <row r="89" spans="1:29" x14ac:dyDescent="0.2">
      <c r="A89" s="43"/>
      <c r="B89" s="43"/>
      <c r="C89" s="43"/>
      <c r="D89" s="43"/>
      <c r="E89" s="266"/>
      <c r="F89" s="278"/>
      <c r="G89" s="278"/>
      <c r="H89" s="279"/>
      <c r="I89" s="279"/>
      <c r="J89" s="278"/>
      <c r="K89" s="278"/>
      <c r="L89" s="278"/>
      <c r="M89" s="278"/>
      <c r="N89" s="278"/>
      <c r="O89" s="43"/>
      <c r="P89" s="43"/>
      <c r="Q89" s="43"/>
      <c r="R89" s="43"/>
      <c r="S89" s="43"/>
      <c r="T89" s="43"/>
      <c r="U89" s="43"/>
      <c r="V89" s="43"/>
      <c r="W89" s="43"/>
      <c r="X89" s="43"/>
      <c r="Y89" s="43"/>
      <c r="Z89" s="43"/>
      <c r="AA89" s="43"/>
      <c r="AB89" s="43"/>
      <c r="AC89" s="43"/>
    </row>
    <row r="90" spans="1:29" x14ac:dyDescent="0.2">
      <c r="A90" s="43"/>
      <c r="B90" s="43"/>
      <c r="C90" s="43"/>
      <c r="D90" s="43"/>
      <c r="E90" s="266"/>
      <c r="F90" s="278"/>
      <c r="G90" s="278"/>
      <c r="H90" s="279"/>
      <c r="I90" s="279"/>
      <c r="J90" s="278"/>
      <c r="K90" s="278"/>
      <c r="L90" s="278"/>
      <c r="M90" s="278"/>
      <c r="N90" s="278"/>
      <c r="O90" s="43"/>
      <c r="P90" s="43"/>
      <c r="Q90" s="43"/>
      <c r="R90" s="43"/>
      <c r="S90" s="43"/>
      <c r="T90" s="43"/>
      <c r="U90" s="43"/>
      <c r="V90" s="43"/>
      <c r="W90" s="43"/>
      <c r="X90" s="43"/>
      <c r="Y90" s="43"/>
      <c r="Z90" s="43"/>
      <c r="AA90" s="43"/>
      <c r="AB90" s="43"/>
      <c r="AC90" s="43"/>
    </row>
    <row r="91" spans="1:29" x14ac:dyDescent="0.2">
      <c r="A91" s="43"/>
      <c r="B91" s="43"/>
      <c r="C91" s="43"/>
      <c r="D91" s="43"/>
      <c r="E91" s="266"/>
      <c r="F91" s="278"/>
      <c r="G91" s="278"/>
      <c r="H91" s="279"/>
      <c r="I91" s="279"/>
      <c r="J91" s="278"/>
      <c r="K91" s="278"/>
      <c r="L91" s="278"/>
      <c r="M91" s="278"/>
      <c r="N91" s="278"/>
      <c r="O91" s="43"/>
      <c r="P91" s="43"/>
      <c r="Q91" s="43"/>
      <c r="R91" s="43"/>
      <c r="S91" s="43"/>
      <c r="T91" s="43"/>
      <c r="U91" s="43"/>
      <c r="V91" s="43"/>
      <c r="W91" s="43"/>
      <c r="X91" s="43"/>
      <c r="Y91" s="43"/>
      <c r="Z91" s="43"/>
      <c r="AA91" s="43"/>
      <c r="AB91" s="43"/>
      <c r="AC91" s="43"/>
    </row>
    <row r="92" spans="1:29" x14ac:dyDescent="0.2">
      <c r="A92" s="43"/>
      <c r="B92" s="43"/>
      <c r="C92" s="43"/>
      <c r="D92" s="43"/>
      <c r="E92" s="266"/>
      <c r="F92" s="278"/>
      <c r="G92" s="278"/>
      <c r="H92" s="279"/>
      <c r="I92" s="279"/>
      <c r="J92" s="278"/>
      <c r="K92" s="278"/>
      <c r="L92" s="278"/>
      <c r="M92" s="278"/>
      <c r="N92" s="278"/>
      <c r="O92" s="43"/>
      <c r="P92" s="43"/>
      <c r="Q92" s="43"/>
      <c r="R92" s="43"/>
      <c r="S92" s="43"/>
      <c r="T92" s="43"/>
      <c r="U92" s="43"/>
      <c r="V92" s="43"/>
      <c r="W92" s="43"/>
      <c r="X92" s="43"/>
      <c r="Y92" s="43"/>
      <c r="Z92" s="43"/>
      <c r="AA92" s="43"/>
      <c r="AB92" s="43"/>
      <c r="AC92" s="43"/>
    </row>
    <row r="93" spans="1:29" x14ac:dyDescent="0.2">
      <c r="A93" s="43"/>
      <c r="B93" s="43"/>
      <c r="C93" s="43"/>
      <c r="D93" s="43"/>
      <c r="E93" s="266"/>
      <c r="F93" s="278"/>
      <c r="G93" s="278"/>
      <c r="H93" s="279"/>
      <c r="I93" s="279"/>
      <c r="J93" s="278"/>
      <c r="K93" s="278"/>
      <c r="L93" s="278"/>
      <c r="M93" s="278"/>
      <c r="N93" s="278"/>
      <c r="O93" s="43"/>
      <c r="P93" s="43"/>
      <c r="Q93" s="43"/>
      <c r="R93" s="43"/>
      <c r="S93" s="43"/>
      <c r="T93" s="43"/>
      <c r="U93" s="43"/>
      <c r="V93" s="43"/>
      <c r="W93" s="43"/>
      <c r="X93" s="43"/>
      <c r="Y93" s="43"/>
      <c r="Z93" s="43"/>
      <c r="AA93" s="43"/>
      <c r="AB93" s="43"/>
      <c r="AC93" s="43"/>
    </row>
    <row r="94" spans="1:29" x14ac:dyDescent="0.2">
      <c r="A94" s="43"/>
      <c r="B94" s="43"/>
      <c r="C94" s="43"/>
      <c r="D94" s="43"/>
      <c r="E94" s="266"/>
      <c r="F94" s="278"/>
      <c r="G94" s="278"/>
      <c r="H94" s="279"/>
      <c r="I94" s="279"/>
      <c r="J94" s="278"/>
      <c r="K94" s="278"/>
      <c r="L94" s="278"/>
      <c r="M94" s="278"/>
      <c r="N94" s="278"/>
      <c r="O94" s="43"/>
      <c r="P94" s="43"/>
      <c r="Q94" s="43"/>
      <c r="R94" s="43"/>
      <c r="S94" s="43"/>
      <c r="T94" s="43"/>
      <c r="U94" s="43"/>
      <c r="V94" s="43"/>
      <c r="W94" s="43"/>
      <c r="X94" s="43"/>
      <c r="Y94" s="43"/>
      <c r="Z94" s="43"/>
      <c r="AA94" s="43"/>
      <c r="AB94" s="43"/>
      <c r="AC94" s="43"/>
    </row>
    <row r="95" spans="1:29" x14ac:dyDescent="0.2">
      <c r="A95" s="43"/>
      <c r="B95" s="43"/>
      <c r="C95" s="43"/>
      <c r="D95" s="43"/>
      <c r="E95" s="266"/>
      <c r="F95" s="278"/>
      <c r="G95" s="278"/>
      <c r="H95" s="279"/>
      <c r="I95" s="279"/>
      <c r="J95" s="278"/>
      <c r="K95" s="278"/>
      <c r="L95" s="278"/>
      <c r="M95" s="278"/>
      <c r="N95" s="278"/>
      <c r="O95" s="43"/>
      <c r="P95" s="43"/>
      <c r="Q95" s="43"/>
      <c r="R95" s="43"/>
      <c r="S95" s="43"/>
      <c r="T95" s="43"/>
      <c r="U95" s="43"/>
      <c r="V95" s="43"/>
      <c r="W95" s="43"/>
      <c r="X95" s="43"/>
      <c r="Y95" s="43"/>
      <c r="Z95" s="43"/>
      <c r="AA95" s="43"/>
      <c r="AB95" s="43"/>
      <c r="AC95" s="43"/>
    </row>
    <row r="96" spans="1:29" x14ac:dyDescent="0.2">
      <c r="A96" s="43"/>
      <c r="B96" s="43"/>
      <c r="C96" s="43"/>
      <c r="D96" s="43"/>
      <c r="E96" s="266"/>
      <c r="F96" s="278"/>
      <c r="G96" s="278"/>
      <c r="H96" s="279"/>
      <c r="I96" s="279"/>
      <c r="J96" s="278"/>
      <c r="K96" s="278"/>
      <c r="L96" s="278"/>
      <c r="M96" s="278"/>
      <c r="N96" s="278"/>
      <c r="O96" s="43"/>
      <c r="P96" s="43"/>
      <c r="Q96" s="43"/>
      <c r="R96" s="43"/>
      <c r="S96" s="43"/>
      <c r="T96" s="43"/>
      <c r="U96" s="43"/>
      <c r="V96" s="43"/>
      <c r="W96" s="43"/>
      <c r="X96" s="43"/>
      <c r="Y96" s="43"/>
      <c r="Z96" s="43"/>
      <c r="AA96" s="43"/>
      <c r="AB96" s="43"/>
      <c r="AC96" s="43"/>
    </row>
    <row r="97" spans="1:29" x14ac:dyDescent="0.2">
      <c r="A97" s="43"/>
      <c r="B97" s="43"/>
      <c r="C97" s="43"/>
      <c r="D97" s="43"/>
      <c r="E97" s="266"/>
      <c r="F97" s="278"/>
      <c r="G97" s="278"/>
      <c r="H97" s="279"/>
      <c r="I97" s="279"/>
      <c r="J97" s="278"/>
      <c r="K97" s="278"/>
      <c r="L97" s="278"/>
      <c r="M97" s="278"/>
      <c r="N97" s="278"/>
      <c r="O97" s="43"/>
      <c r="P97" s="43"/>
      <c r="Q97" s="43"/>
      <c r="R97" s="43"/>
      <c r="S97" s="43"/>
      <c r="T97" s="43"/>
      <c r="U97" s="43"/>
      <c r="V97" s="43"/>
      <c r="W97" s="43"/>
      <c r="X97" s="43"/>
      <c r="Y97" s="43"/>
      <c r="Z97" s="43"/>
      <c r="AA97" s="43"/>
      <c r="AB97" s="43"/>
      <c r="AC97" s="43"/>
    </row>
    <row r="98" spans="1:29" x14ac:dyDescent="0.2">
      <c r="A98" s="43"/>
      <c r="B98" s="43"/>
      <c r="C98" s="43"/>
      <c r="D98" s="43"/>
      <c r="E98" s="266"/>
      <c r="F98" s="278"/>
      <c r="G98" s="278"/>
      <c r="H98" s="279"/>
      <c r="I98" s="279"/>
      <c r="J98" s="278"/>
      <c r="K98" s="278"/>
      <c r="L98" s="278"/>
      <c r="M98" s="278"/>
      <c r="N98" s="278"/>
      <c r="O98" s="43"/>
      <c r="P98" s="43"/>
      <c r="Q98" s="43"/>
      <c r="R98" s="43"/>
      <c r="S98" s="43"/>
      <c r="T98" s="43"/>
      <c r="U98" s="43"/>
      <c r="V98" s="43"/>
      <c r="W98" s="43"/>
      <c r="X98" s="43"/>
      <c r="Y98" s="43"/>
      <c r="Z98" s="43"/>
      <c r="AA98" s="43"/>
      <c r="AB98" s="43"/>
      <c r="AC98" s="43"/>
    </row>
    <row r="99" spans="1:29" x14ac:dyDescent="0.2">
      <c r="A99" s="43"/>
      <c r="B99" s="43"/>
      <c r="C99" s="43"/>
      <c r="D99" s="43"/>
      <c r="E99" s="266"/>
      <c r="F99" s="278"/>
      <c r="G99" s="278"/>
      <c r="H99" s="279"/>
      <c r="I99" s="279"/>
      <c r="J99" s="278"/>
      <c r="K99" s="278"/>
      <c r="L99" s="278"/>
      <c r="M99" s="278"/>
      <c r="N99" s="278"/>
      <c r="O99" s="43"/>
      <c r="P99" s="43"/>
      <c r="Q99" s="43"/>
      <c r="R99" s="43"/>
      <c r="S99" s="43"/>
      <c r="T99" s="43"/>
      <c r="U99" s="43"/>
      <c r="V99" s="43"/>
      <c r="W99" s="43"/>
      <c r="X99" s="43"/>
      <c r="Y99" s="43"/>
      <c r="Z99" s="43"/>
      <c r="AA99" s="43"/>
      <c r="AB99" s="43"/>
      <c r="AC99" s="43"/>
    </row>
    <row r="100" spans="1:29" ht="12.75" hidden="1" customHeight="1" x14ac:dyDescent="0.2">
      <c r="A100" s="269"/>
      <c r="B100" s="269"/>
      <c r="C100" s="269"/>
      <c r="D100" s="269"/>
      <c r="E100" s="282"/>
      <c r="F100" s="283"/>
      <c r="G100" s="283"/>
      <c r="H100" s="284"/>
      <c r="I100" s="284"/>
      <c r="J100" s="283"/>
      <c r="K100" s="283"/>
      <c r="L100" s="283"/>
      <c r="M100" s="283"/>
      <c r="N100" s="283"/>
      <c r="O100" s="269"/>
      <c r="P100" s="269"/>
      <c r="Q100" s="269"/>
    </row>
    <row r="101" spans="1:29" ht="12.75" hidden="1" customHeight="1" x14ac:dyDescent="0.2">
      <c r="A101" s="269"/>
      <c r="B101" s="269"/>
      <c r="C101" s="269"/>
      <c r="D101" s="269"/>
      <c r="E101" s="282"/>
      <c r="F101" s="283"/>
      <c r="G101" s="283"/>
      <c r="H101" s="284"/>
      <c r="I101" s="284"/>
      <c r="J101" s="283"/>
      <c r="K101" s="283"/>
      <c r="L101" s="283"/>
      <c r="M101" s="283"/>
      <c r="N101" s="283"/>
      <c r="O101" s="269"/>
      <c r="P101" s="269"/>
      <c r="Q101" s="269"/>
    </row>
    <row r="102" spans="1:29" ht="12.75" hidden="1" customHeight="1" x14ac:dyDescent="0.2">
      <c r="A102" s="269"/>
      <c r="B102" s="269"/>
      <c r="C102" s="269"/>
      <c r="D102" s="269"/>
      <c r="E102" s="282"/>
      <c r="F102" s="283"/>
      <c r="G102" s="283"/>
      <c r="H102" s="284"/>
      <c r="I102" s="284"/>
      <c r="J102" s="283"/>
      <c r="K102" s="283"/>
      <c r="L102" s="283"/>
      <c r="M102" s="283"/>
      <c r="N102" s="283"/>
      <c r="O102" s="269"/>
      <c r="P102" s="269"/>
      <c r="Q102" s="269"/>
    </row>
    <row r="103" spans="1:29" ht="12.75" hidden="1" customHeight="1" x14ac:dyDescent="0.2">
      <c r="A103" s="269"/>
      <c r="B103" s="269"/>
      <c r="C103" s="269"/>
      <c r="D103" s="269"/>
      <c r="E103" s="282"/>
      <c r="F103" s="283"/>
      <c r="G103" s="283"/>
      <c r="H103" s="284"/>
      <c r="I103" s="284"/>
      <c r="J103" s="283"/>
      <c r="K103" s="283"/>
      <c r="L103" s="283"/>
      <c r="M103" s="283"/>
      <c r="N103" s="283"/>
      <c r="O103" s="269"/>
      <c r="P103" s="269"/>
      <c r="Q103" s="269"/>
    </row>
    <row r="104" spans="1:29" ht="12.75" hidden="1" customHeight="1" x14ac:dyDescent="0.2">
      <c r="A104" s="269"/>
      <c r="B104" s="269"/>
      <c r="C104" s="269"/>
      <c r="D104" s="269"/>
      <c r="E104" s="282"/>
      <c r="F104" s="283"/>
      <c r="G104" s="283"/>
      <c r="H104" s="284"/>
      <c r="I104" s="284"/>
      <c r="J104" s="283"/>
      <c r="K104" s="283"/>
      <c r="L104" s="283"/>
      <c r="M104" s="283"/>
      <c r="N104" s="283"/>
      <c r="O104" s="269"/>
      <c r="P104" s="269"/>
      <c r="Q104" s="269"/>
    </row>
    <row r="105" spans="1:29" ht="12.75" hidden="1" customHeight="1" x14ac:dyDescent="0.2">
      <c r="A105" s="269"/>
      <c r="B105" s="269"/>
      <c r="C105" s="269"/>
      <c r="D105" s="269"/>
      <c r="E105" s="282"/>
      <c r="F105" s="283"/>
      <c r="G105" s="283"/>
      <c r="H105" s="284"/>
      <c r="I105" s="284"/>
      <c r="J105" s="283"/>
      <c r="K105" s="283"/>
      <c r="L105" s="283"/>
      <c r="M105" s="283"/>
      <c r="N105" s="283"/>
      <c r="O105" s="269"/>
      <c r="P105" s="269"/>
      <c r="Q105" s="269"/>
    </row>
    <row r="106" spans="1:29" ht="12.75" hidden="1" customHeight="1" x14ac:dyDescent="0.2">
      <c r="A106" s="269"/>
      <c r="B106" s="269"/>
      <c r="C106" s="269"/>
      <c r="D106" s="269"/>
      <c r="E106" s="282"/>
      <c r="F106" s="283"/>
      <c r="G106" s="283"/>
      <c r="H106" s="284"/>
      <c r="I106" s="284"/>
      <c r="J106" s="283"/>
      <c r="K106" s="283"/>
      <c r="L106" s="283"/>
      <c r="M106" s="283"/>
      <c r="N106" s="283"/>
      <c r="O106" s="269"/>
      <c r="P106" s="269"/>
      <c r="Q106" s="269"/>
    </row>
    <row r="107" spans="1:29" ht="12.75" hidden="1" customHeight="1" x14ac:dyDescent="0.2">
      <c r="A107" s="269"/>
      <c r="B107" s="269"/>
      <c r="C107" s="269"/>
      <c r="D107" s="269"/>
      <c r="E107" s="282"/>
      <c r="F107" s="283"/>
      <c r="G107" s="283"/>
      <c r="H107" s="284"/>
      <c r="I107" s="284"/>
      <c r="J107" s="283"/>
      <c r="K107" s="283"/>
      <c r="L107" s="283"/>
      <c r="M107" s="283"/>
      <c r="N107" s="283"/>
      <c r="O107" s="269"/>
      <c r="P107" s="269"/>
      <c r="Q107" s="269"/>
    </row>
    <row r="108" spans="1:29" ht="12.75" hidden="1" customHeight="1" x14ac:dyDescent="0.2">
      <c r="A108" s="269"/>
      <c r="B108" s="269"/>
      <c r="C108" s="269"/>
      <c r="D108" s="269"/>
      <c r="E108" s="282"/>
      <c r="F108" s="283"/>
      <c r="G108" s="283"/>
      <c r="H108" s="284"/>
      <c r="I108" s="284"/>
      <c r="J108" s="283"/>
      <c r="K108" s="283"/>
      <c r="L108" s="283"/>
      <c r="M108" s="283"/>
      <c r="N108" s="283"/>
      <c r="O108" s="269"/>
      <c r="P108" s="269"/>
      <c r="Q108" s="269"/>
    </row>
    <row r="109" spans="1:29" ht="12.75" hidden="1" customHeight="1" x14ac:dyDescent="0.2">
      <c r="A109" s="269"/>
      <c r="B109" s="269"/>
      <c r="C109" s="269"/>
      <c r="D109" s="269"/>
      <c r="E109" s="282"/>
      <c r="F109" s="283"/>
      <c r="G109" s="283"/>
      <c r="H109" s="284"/>
      <c r="I109" s="284"/>
      <c r="J109" s="283"/>
      <c r="K109" s="283"/>
      <c r="L109" s="283"/>
      <c r="M109" s="283"/>
      <c r="N109" s="283"/>
      <c r="O109" s="269"/>
      <c r="P109" s="269"/>
      <c r="Q109" s="269"/>
    </row>
    <row r="110" spans="1:29" ht="12.75" hidden="1" customHeight="1" x14ac:dyDescent="0.2">
      <c r="A110" s="269"/>
      <c r="B110" s="269"/>
      <c r="C110" s="269"/>
      <c r="D110" s="269"/>
      <c r="E110" s="282"/>
      <c r="F110" s="283"/>
      <c r="G110" s="283"/>
      <c r="H110" s="284"/>
      <c r="I110" s="284"/>
      <c r="J110" s="283"/>
      <c r="K110" s="283"/>
      <c r="L110" s="283"/>
      <c r="M110" s="283"/>
      <c r="N110" s="283"/>
      <c r="O110" s="269"/>
      <c r="P110" s="269"/>
      <c r="Q110" s="269"/>
    </row>
    <row r="111" spans="1:29" ht="12.75" hidden="1" customHeight="1" x14ac:dyDescent="0.2">
      <c r="A111" s="269"/>
      <c r="B111" s="269"/>
      <c r="C111" s="269"/>
      <c r="D111" s="269"/>
      <c r="E111" s="282"/>
      <c r="F111" s="283"/>
      <c r="G111" s="283"/>
      <c r="H111" s="284"/>
      <c r="I111" s="284"/>
      <c r="J111" s="283"/>
      <c r="K111" s="283"/>
      <c r="L111" s="283"/>
      <c r="M111" s="283"/>
      <c r="N111" s="283"/>
      <c r="O111" s="269"/>
      <c r="P111" s="269"/>
      <c r="Q111" s="269"/>
    </row>
    <row r="112" spans="1:29" ht="12.75" hidden="1" customHeight="1" x14ac:dyDescent="0.2">
      <c r="A112" s="269"/>
      <c r="B112" s="269"/>
      <c r="C112" s="269"/>
      <c r="D112" s="269"/>
      <c r="E112" s="282"/>
      <c r="F112" s="283"/>
      <c r="G112" s="283"/>
      <c r="H112" s="284"/>
      <c r="I112" s="284"/>
      <c r="J112" s="283"/>
      <c r="K112" s="283"/>
      <c r="L112" s="283"/>
      <c r="M112" s="283"/>
      <c r="N112" s="283"/>
      <c r="O112" s="269"/>
      <c r="P112" s="269"/>
      <c r="Q112" s="269"/>
    </row>
    <row r="113" spans="1:17" ht="12.75" hidden="1" customHeight="1" x14ac:dyDescent="0.2">
      <c r="A113" s="269"/>
      <c r="B113" s="269"/>
      <c r="C113" s="269"/>
      <c r="D113" s="269"/>
      <c r="E113" s="282"/>
      <c r="F113" s="283"/>
      <c r="G113" s="283"/>
      <c r="H113" s="284"/>
      <c r="I113" s="284"/>
      <c r="J113" s="283"/>
      <c r="K113" s="283"/>
      <c r="L113" s="283"/>
      <c r="M113" s="283"/>
      <c r="N113" s="283"/>
      <c r="O113" s="269"/>
      <c r="P113" s="269"/>
      <c r="Q113" s="269"/>
    </row>
    <row r="114" spans="1:17" ht="12.75" hidden="1" customHeight="1" x14ac:dyDescent="0.2">
      <c r="A114" s="269"/>
      <c r="B114" s="269"/>
      <c r="C114" s="269"/>
      <c r="D114" s="269"/>
      <c r="E114" s="282"/>
      <c r="F114" s="283"/>
      <c r="G114" s="283"/>
      <c r="H114" s="284"/>
      <c r="I114" s="284"/>
      <c r="J114" s="283"/>
      <c r="K114" s="283"/>
      <c r="L114" s="283"/>
      <c r="M114" s="283"/>
      <c r="N114" s="283"/>
      <c r="O114" s="269"/>
      <c r="P114" s="269"/>
      <c r="Q114" s="269"/>
    </row>
    <row r="115" spans="1:17" ht="12.75" hidden="1" customHeight="1" x14ac:dyDescent="0.2">
      <c r="A115" s="269"/>
      <c r="B115" s="269"/>
      <c r="C115" s="269"/>
      <c r="D115" s="269"/>
      <c r="E115" s="282"/>
      <c r="F115" s="283"/>
      <c r="G115" s="283"/>
      <c r="H115" s="284"/>
      <c r="I115" s="284"/>
      <c r="J115" s="283"/>
      <c r="K115" s="283"/>
      <c r="L115" s="283"/>
      <c r="M115" s="283"/>
      <c r="N115" s="283"/>
      <c r="O115" s="269"/>
      <c r="P115" s="269"/>
      <c r="Q115" s="269"/>
    </row>
    <row r="116" spans="1:17" ht="12.75" hidden="1" customHeight="1" x14ac:dyDescent="0.2">
      <c r="A116" s="269"/>
      <c r="B116" s="269"/>
      <c r="C116" s="269"/>
      <c r="D116" s="269"/>
      <c r="E116" s="282"/>
      <c r="F116" s="283"/>
      <c r="G116" s="283"/>
      <c r="H116" s="284"/>
      <c r="I116" s="284"/>
      <c r="J116" s="283"/>
      <c r="K116" s="283"/>
      <c r="L116" s="283"/>
      <c r="M116" s="283"/>
      <c r="N116" s="283"/>
      <c r="O116" s="269"/>
      <c r="P116" s="269"/>
      <c r="Q116" s="269"/>
    </row>
    <row r="117" spans="1:17" ht="12.75" hidden="1" customHeight="1" x14ac:dyDescent="0.2">
      <c r="A117" s="269"/>
      <c r="B117" s="269"/>
      <c r="C117" s="269"/>
      <c r="D117" s="269"/>
      <c r="E117" s="282"/>
      <c r="F117" s="283"/>
      <c r="G117" s="283"/>
      <c r="H117" s="284"/>
      <c r="I117" s="284"/>
      <c r="J117" s="283"/>
      <c r="K117" s="283"/>
      <c r="L117" s="283"/>
      <c r="M117" s="283"/>
      <c r="N117" s="283"/>
      <c r="O117" s="269"/>
      <c r="P117" s="269"/>
      <c r="Q117" s="269"/>
    </row>
    <row r="118" spans="1:17" ht="12.75" hidden="1" customHeight="1" x14ac:dyDescent="0.2">
      <c r="A118" s="269"/>
      <c r="B118" s="269"/>
      <c r="C118" s="269"/>
      <c r="D118" s="269"/>
      <c r="E118" s="282"/>
      <c r="F118" s="283"/>
      <c r="G118" s="283"/>
      <c r="H118" s="284"/>
      <c r="I118" s="284"/>
      <c r="J118" s="283"/>
      <c r="K118" s="283"/>
      <c r="L118" s="283"/>
      <c r="M118" s="283"/>
      <c r="N118" s="283"/>
      <c r="O118" s="269"/>
      <c r="P118" s="269"/>
      <c r="Q118" s="269"/>
    </row>
    <row r="119" spans="1:17" ht="12.75" hidden="1" customHeight="1" x14ac:dyDescent="0.2">
      <c r="A119" s="269"/>
      <c r="B119" s="269"/>
      <c r="C119" s="269"/>
      <c r="D119" s="269"/>
      <c r="E119" s="282"/>
      <c r="F119" s="283"/>
      <c r="G119" s="283"/>
      <c r="H119" s="284"/>
      <c r="I119" s="284"/>
      <c r="J119" s="283"/>
      <c r="K119" s="283"/>
      <c r="L119" s="283"/>
      <c r="M119" s="283"/>
      <c r="N119" s="283"/>
      <c r="O119" s="269"/>
      <c r="P119" s="269"/>
      <c r="Q119" s="269"/>
    </row>
    <row r="120" spans="1:17" ht="12.75" hidden="1" customHeight="1" x14ac:dyDescent="0.2">
      <c r="A120" s="269"/>
      <c r="B120" s="269"/>
      <c r="C120" s="269"/>
      <c r="D120" s="269"/>
      <c r="E120" s="282"/>
      <c r="F120" s="283"/>
      <c r="G120" s="283"/>
      <c r="H120" s="284"/>
      <c r="I120" s="284"/>
      <c r="J120" s="283"/>
      <c r="K120" s="283"/>
      <c r="L120" s="283"/>
      <c r="M120" s="283"/>
      <c r="N120" s="283"/>
      <c r="O120" s="269"/>
      <c r="P120" s="269"/>
      <c r="Q120" s="269"/>
    </row>
    <row r="121" spans="1:17" ht="12.75" hidden="1" customHeight="1" x14ac:dyDescent="0.2">
      <c r="A121" s="269"/>
      <c r="B121" s="269"/>
      <c r="C121" s="269"/>
      <c r="D121" s="269"/>
      <c r="E121" s="282"/>
      <c r="F121" s="283"/>
      <c r="G121" s="283"/>
      <c r="H121" s="284"/>
      <c r="I121" s="284"/>
      <c r="J121" s="283"/>
      <c r="K121" s="283"/>
      <c r="L121" s="283"/>
      <c r="M121" s="283"/>
      <c r="N121" s="283"/>
      <c r="O121" s="269"/>
      <c r="P121" s="269"/>
      <c r="Q121" s="269"/>
    </row>
    <row r="122" spans="1:17" ht="12.75" hidden="1" customHeight="1" x14ac:dyDescent="0.2">
      <c r="A122" s="269"/>
      <c r="B122" s="269"/>
      <c r="C122" s="269"/>
      <c r="D122" s="269"/>
      <c r="E122" s="282"/>
      <c r="F122" s="283"/>
      <c r="G122" s="283"/>
      <c r="H122" s="284"/>
      <c r="I122" s="284"/>
      <c r="J122" s="283"/>
      <c r="K122" s="283"/>
      <c r="L122" s="283"/>
      <c r="M122" s="283"/>
      <c r="N122" s="283"/>
      <c r="O122" s="269"/>
      <c r="P122" s="269"/>
      <c r="Q122" s="269"/>
    </row>
    <row r="123" spans="1:17" ht="12.75" hidden="1" customHeight="1" x14ac:dyDescent="0.2">
      <c r="A123" s="269"/>
      <c r="B123" s="269"/>
      <c r="C123" s="269"/>
      <c r="D123" s="269"/>
      <c r="E123" s="282"/>
      <c r="F123" s="283"/>
      <c r="G123" s="283"/>
      <c r="H123" s="284"/>
      <c r="I123" s="284"/>
      <c r="J123" s="283"/>
      <c r="K123" s="283"/>
      <c r="L123" s="283"/>
      <c r="M123" s="283"/>
      <c r="N123" s="283"/>
      <c r="O123" s="269"/>
      <c r="P123" s="269"/>
      <c r="Q123" s="269"/>
    </row>
    <row r="124" spans="1:17" ht="12.75" hidden="1" customHeight="1" x14ac:dyDescent="0.2">
      <c r="A124" s="269"/>
      <c r="B124" s="269"/>
      <c r="C124" s="269"/>
      <c r="D124" s="269"/>
      <c r="E124" s="282"/>
      <c r="F124" s="283"/>
      <c r="G124" s="283"/>
      <c r="H124" s="284"/>
      <c r="I124" s="284"/>
      <c r="J124" s="283"/>
      <c r="K124" s="283"/>
      <c r="L124" s="283"/>
      <c r="M124" s="283"/>
      <c r="N124" s="283"/>
      <c r="O124" s="269"/>
      <c r="P124" s="269"/>
      <c r="Q124" s="269"/>
    </row>
    <row r="125" spans="1:17" ht="12.75" hidden="1" customHeight="1" x14ac:dyDescent="0.2">
      <c r="A125" s="269"/>
      <c r="B125" s="269"/>
      <c r="C125" s="269"/>
      <c r="D125" s="269"/>
      <c r="E125" s="282"/>
      <c r="F125" s="283"/>
      <c r="G125" s="283"/>
      <c r="H125" s="284"/>
      <c r="I125" s="284"/>
      <c r="J125" s="283"/>
      <c r="K125" s="283"/>
      <c r="L125" s="283"/>
      <c r="M125" s="283"/>
      <c r="N125" s="283"/>
      <c r="O125" s="269"/>
      <c r="P125" s="269"/>
      <c r="Q125" s="269"/>
    </row>
    <row r="126" spans="1:17" ht="12.75" hidden="1" customHeight="1" x14ac:dyDescent="0.2">
      <c r="A126" s="269"/>
      <c r="B126" s="269"/>
      <c r="C126" s="269"/>
      <c r="D126" s="269"/>
      <c r="E126" s="282"/>
      <c r="F126" s="283"/>
      <c r="G126" s="283"/>
      <c r="H126" s="284"/>
      <c r="I126" s="284"/>
      <c r="J126" s="283"/>
      <c r="K126" s="283"/>
      <c r="L126" s="283"/>
      <c r="M126" s="283"/>
      <c r="N126" s="283"/>
      <c r="O126" s="269"/>
      <c r="P126" s="269"/>
      <c r="Q126" s="269"/>
    </row>
    <row r="127" spans="1:17" ht="12.75" hidden="1" customHeight="1" x14ac:dyDescent="0.2">
      <c r="A127" s="269"/>
      <c r="B127" s="269"/>
      <c r="C127" s="269"/>
      <c r="D127" s="269"/>
      <c r="E127" s="282"/>
      <c r="F127" s="283"/>
      <c r="G127" s="283"/>
      <c r="H127" s="284"/>
      <c r="I127" s="284"/>
      <c r="J127" s="283"/>
      <c r="K127" s="283"/>
      <c r="L127" s="283"/>
      <c r="M127" s="283"/>
      <c r="N127" s="283"/>
      <c r="O127" s="269"/>
      <c r="P127" s="269"/>
      <c r="Q127" s="269"/>
    </row>
    <row r="128" spans="1:17" ht="12.75" hidden="1" customHeight="1" x14ac:dyDescent="0.2">
      <c r="A128" s="269"/>
      <c r="B128" s="269"/>
      <c r="C128" s="269"/>
      <c r="D128" s="269"/>
      <c r="E128" s="282"/>
      <c r="F128" s="283"/>
      <c r="G128" s="283"/>
      <c r="H128" s="284"/>
      <c r="I128" s="284"/>
      <c r="J128" s="283"/>
      <c r="K128" s="283"/>
      <c r="L128" s="283"/>
      <c r="M128" s="283"/>
      <c r="N128" s="283"/>
      <c r="O128" s="269"/>
      <c r="P128" s="269"/>
      <c r="Q128" s="269"/>
    </row>
    <row r="129" spans="1:17" ht="12.75" hidden="1" customHeight="1" x14ac:dyDescent="0.2">
      <c r="A129" s="269"/>
      <c r="B129" s="269"/>
      <c r="C129" s="269"/>
      <c r="D129" s="269"/>
      <c r="E129" s="282"/>
      <c r="F129" s="283"/>
      <c r="G129" s="283"/>
      <c r="H129" s="284"/>
      <c r="I129" s="284"/>
      <c r="J129" s="283"/>
      <c r="K129" s="283"/>
      <c r="L129" s="283"/>
      <c r="M129" s="283"/>
      <c r="N129" s="283"/>
      <c r="O129" s="269"/>
      <c r="P129" s="269"/>
      <c r="Q129" s="269"/>
    </row>
    <row r="130" spans="1:17" ht="12.75" hidden="1" customHeight="1" x14ac:dyDescent="0.2">
      <c r="A130" s="269"/>
      <c r="B130" s="269"/>
      <c r="C130" s="269"/>
      <c r="D130" s="269"/>
      <c r="E130" s="282"/>
      <c r="F130" s="283"/>
      <c r="G130" s="283"/>
      <c r="H130" s="284"/>
      <c r="I130" s="284"/>
      <c r="J130" s="283"/>
      <c r="K130" s="283"/>
      <c r="L130" s="283"/>
      <c r="M130" s="283"/>
      <c r="N130" s="283"/>
      <c r="O130" s="269"/>
      <c r="P130" s="269"/>
      <c r="Q130" s="269"/>
    </row>
    <row r="131" spans="1:17" ht="12.75" hidden="1" customHeight="1" x14ac:dyDescent="0.2">
      <c r="A131" s="269"/>
      <c r="B131" s="269"/>
      <c r="C131" s="269"/>
      <c r="D131" s="269"/>
      <c r="E131" s="282"/>
      <c r="F131" s="283"/>
      <c r="G131" s="283"/>
      <c r="H131" s="284"/>
      <c r="I131" s="284"/>
      <c r="J131" s="283"/>
      <c r="K131" s="283"/>
      <c r="L131" s="283"/>
      <c r="M131" s="283"/>
      <c r="N131" s="283"/>
      <c r="O131" s="269"/>
      <c r="P131" s="269"/>
      <c r="Q131" s="269"/>
    </row>
    <row r="132" spans="1:17" ht="12.75" hidden="1" customHeight="1" x14ac:dyDescent="0.2">
      <c r="A132" s="269"/>
      <c r="B132" s="269"/>
      <c r="C132" s="269"/>
      <c r="D132" s="269"/>
      <c r="E132" s="282"/>
      <c r="F132" s="283"/>
      <c r="G132" s="283"/>
      <c r="H132" s="284"/>
      <c r="I132" s="284"/>
      <c r="J132" s="283"/>
      <c r="K132" s="283"/>
      <c r="L132" s="283"/>
      <c r="M132" s="283"/>
      <c r="N132" s="283"/>
      <c r="O132" s="269"/>
      <c r="P132" s="269"/>
      <c r="Q132" s="269"/>
    </row>
    <row r="133" spans="1:17" ht="12.75" hidden="1" customHeight="1" x14ac:dyDescent="0.2">
      <c r="A133" s="269"/>
      <c r="B133" s="269"/>
      <c r="C133" s="269"/>
      <c r="D133" s="269"/>
      <c r="E133" s="282"/>
      <c r="F133" s="283"/>
      <c r="G133" s="283"/>
      <c r="H133" s="284"/>
      <c r="I133" s="284"/>
      <c r="J133" s="283"/>
      <c r="K133" s="283"/>
      <c r="L133" s="283"/>
      <c r="M133" s="283"/>
      <c r="N133" s="283"/>
      <c r="O133" s="269"/>
      <c r="P133" s="269"/>
      <c r="Q133" s="269"/>
    </row>
    <row r="134" spans="1:17" ht="12.75" hidden="1" customHeight="1" x14ac:dyDescent="0.2">
      <c r="A134" s="269"/>
      <c r="B134" s="269"/>
      <c r="C134" s="269"/>
      <c r="D134" s="269"/>
      <c r="E134" s="282"/>
      <c r="F134" s="283"/>
      <c r="G134" s="283"/>
      <c r="H134" s="284"/>
      <c r="I134" s="284"/>
      <c r="J134" s="283"/>
      <c r="K134" s="283"/>
      <c r="L134" s="283"/>
      <c r="M134" s="283"/>
      <c r="N134" s="283"/>
      <c r="O134" s="269"/>
      <c r="P134" s="269"/>
      <c r="Q134" s="269"/>
    </row>
    <row r="135" spans="1:17" ht="12.75" hidden="1" customHeight="1" x14ac:dyDescent="0.2">
      <c r="A135" s="269"/>
      <c r="B135" s="269"/>
      <c r="C135" s="269"/>
      <c r="D135" s="269"/>
      <c r="E135" s="282"/>
      <c r="F135" s="283"/>
      <c r="G135" s="283"/>
      <c r="H135" s="284"/>
      <c r="I135" s="284"/>
      <c r="J135" s="283"/>
      <c r="K135" s="283"/>
      <c r="L135" s="283"/>
      <c r="M135" s="283"/>
      <c r="N135" s="283"/>
      <c r="O135" s="269"/>
      <c r="P135" s="269"/>
      <c r="Q135" s="269"/>
    </row>
    <row r="136" spans="1:17" ht="12.75" hidden="1" customHeight="1" x14ac:dyDescent="0.2">
      <c r="A136" s="269"/>
      <c r="B136" s="269"/>
      <c r="C136" s="269"/>
      <c r="D136" s="269"/>
      <c r="E136" s="282"/>
      <c r="F136" s="283"/>
      <c r="G136" s="283"/>
      <c r="H136" s="284"/>
      <c r="I136" s="284"/>
      <c r="J136" s="283"/>
      <c r="K136" s="283"/>
      <c r="L136" s="283"/>
      <c r="M136" s="283"/>
      <c r="N136" s="283"/>
      <c r="O136" s="269"/>
      <c r="P136" s="269"/>
      <c r="Q136" s="269"/>
    </row>
    <row r="137" spans="1:17" ht="12.75" hidden="1" customHeight="1" x14ac:dyDescent="0.2">
      <c r="A137" s="269"/>
      <c r="B137" s="269"/>
      <c r="C137" s="269"/>
      <c r="D137" s="269"/>
      <c r="E137" s="282"/>
      <c r="F137" s="283"/>
      <c r="G137" s="283"/>
      <c r="H137" s="284"/>
      <c r="I137" s="284"/>
      <c r="J137" s="283"/>
      <c r="K137" s="283"/>
      <c r="L137" s="283"/>
      <c r="M137" s="283"/>
      <c r="N137" s="283"/>
      <c r="O137" s="269"/>
      <c r="P137" s="269"/>
      <c r="Q137" s="269"/>
    </row>
    <row r="138" spans="1:17" ht="12.75" hidden="1" customHeight="1" x14ac:dyDescent="0.2">
      <c r="A138" s="269"/>
      <c r="B138" s="269"/>
      <c r="C138" s="269"/>
      <c r="D138" s="269"/>
      <c r="E138" s="282"/>
      <c r="F138" s="283"/>
      <c r="G138" s="283"/>
      <c r="H138" s="284"/>
      <c r="I138" s="284"/>
      <c r="J138" s="283"/>
      <c r="K138" s="283"/>
      <c r="L138" s="283"/>
      <c r="M138" s="283"/>
      <c r="N138" s="283"/>
      <c r="O138" s="269"/>
      <c r="P138" s="269"/>
      <c r="Q138" s="269"/>
    </row>
    <row r="139" spans="1:17" ht="12.75" hidden="1" customHeight="1" x14ac:dyDescent="0.2">
      <c r="A139" s="269"/>
      <c r="B139" s="269"/>
      <c r="C139" s="269"/>
      <c r="D139" s="269"/>
      <c r="E139" s="282"/>
      <c r="F139" s="283"/>
      <c r="G139" s="283"/>
      <c r="H139" s="284"/>
      <c r="I139" s="284"/>
      <c r="J139" s="283"/>
      <c r="K139" s="283"/>
      <c r="L139" s="283"/>
      <c r="M139" s="283"/>
      <c r="N139" s="283"/>
      <c r="O139" s="269"/>
      <c r="P139" s="269"/>
      <c r="Q139" s="269"/>
    </row>
    <row r="140" spans="1:17" ht="12.75" hidden="1" customHeight="1" x14ac:dyDescent="0.2">
      <c r="A140" s="269"/>
      <c r="B140" s="269"/>
      <c r="C140" s="269"/>
      <c r="D140" s="269"/>
      <c r="E140" s="282"/>
      <c r="F140" s="283"/>
      <c r="G140" s="283"/>
      <c r="H140" s="284"/>
      <c r="I140" s="284"/>
      <c r="J140" s="283"/>
      <c r="K140" s="283"/>
      <c r="L140" s="283"/>
      <c r="M140" s="283"/>
      <c r="N140" s="283"/>
      <c r="O140" s="269"/>
      <c r="P140" s="269"/>
      <c r="Q140" s="269"/>
    </row>
    <row r="141" spans="1:17" ht="12.75" hidden="1" customHeight="1" x14ac:dyDescent="0.2">
      <c r="A141" s="269"/>
      <c r="B141" s="269"/>
      <c r="C141" s="269"/>
      <c r="D141" s="269"/>
      <c r="E141" s="282"/>
      <c r="F141" s="283"/>
      <c r="G141" s="283"/>
      <c r="H141" s="284"/>
      <c r="I141" s="284"/>
      <c r="J141" s="283"/>
      <c r="K141" s="283"/>
      <c r="L141" s="283"/>
      <c r="M141" s="283"/>
      <c r="N141" s="283"/>
      <c r="O141" s="269"/>
      <c r="P141" s="269"/>
      <c r="Q141" s="269"/>
    </row>
    <row r="142" spans="1:17" ht="12.75" hidden="1" customHeight="1" x14ac:dyDescent="0.2">
      <c r="A142" s="269"/>
      <c r="B142" s="269"/>
      <c r="C142" s="269"/>
      <c r="D142" s="269"/>
      <c r="E142" s="282"/>
      <c r="F142" s="283"/>
      <c r="G142" s="283"/>
      <c r="H142" s="284"/>
      <c r="I142" s="284"/>
      <c r="J142" s="283"/>
      <c r="K142" s="283"/>
      <c r="L142" s="283"/>
      <c r="M142" s="283"/>
      <c r="N142" s="283"/>
      <c r="O142" s="269"/>
      <c r="P142" s="269"/>
      <c r="Q142" s="269"/>
    </row>
    <row r="143" spans="1:17" ht="12.75" hidden="1" customHeight="1" x14ac:dyDescent="0.2">
      <c r="A143" s="269"/>
      <c r="B143" s="269"/>
      <c r="C143" s="269"/>
      <c r="D143" s="269"/>
      <c r="E143" s="282"/>
      <c r="F143" s="283"/>
      <c r="G143" s="283"/>
      <c r="H143" s="284"/>
      <c r="I143" s="284"/>
      <c r="J143" s="283"/>
      <c r="K143" s="283"/>
      <c r="L143" s="283"/>
      <c r="M143" s="283"/>
      <c r="N143" s="283"/>
      <c r="O143" s="269"/>
      <c r="P143" s="269"/>
      <c r="Q143" s="269"/>
    </row>
    <row r="144" spans="1:17" ht="12.75" hidden="1" customHeight="1" x14ac:dyDescent="0.2">
      <c r="A144" s="269"/>
      <c r="B144" s="269"/>
      <c r="C144" s="269"/>
      <c r="D144" s="269"/>
      <c r="E144" s="282"/>
      <c r="F144" s="283"/>
      <c r="G144" s="283"/>
      <c r="H144" s="284"/>
      <c r="I144" s="284"/>
      <c r="J144" s="283"/>
      <c r="K144" s="283"/>
      <c r="L144" s="283"/>
      <c r="M144" s="283"/>
      <c r="N144" s="283"/>
      <c r="O144" s="269"/>
      <c r="P144" s="269"/>
      <c r="Q144" s="269"/>
    </row>
    <row r="145" spans="1:17" ht="12.75" hidden="1" customHeight="1" x14ac:dyDescent="0.2">
      <c r="A145" s="269"/>
      <c r="B145" s="269"/>
      <c r="C145" s="269"/>
      <c r="D145" s="269"/>
      <c r="E145" s="282"/>
      <c r="F145" s="283"/>
      <c r="G145" s="283"/>
      <c r="H145" s="284"/>
      <c r="I145" s="284"/>
      <c r="J145" s="283"/>
      <c r="K145" s="283"/>
      <c r="L145" s="283"/>
      <c r="M145" s="283"/>
      <c r="N145" s="283"/>
      <c r="O145" s="269"/>
      <c r="P145" s="269"/>
      <c r="Q145" s="269"/>
    </row>
    <row r="146" spans="1:17" ht="12.75" hidden="1" customHeight="1" x14ac:dyDescent="0.2">
      <c r="A146" s="269"/>
      <c r="B146" s="269"/>
      <c r="C146" s="269"/>
      <c r="D146" s="269"/>
      <c r="E146" s="282"/>
      <c r="F146" s="283"/>
      <c r="G146" s="283"/>
      <c r="H146" s="284"/>
      <c r="I146" s="284"/>
      <c r="J146" s="283"/>
      <c r="K146" s="283"/>
      <c r="L146" s="283"/>
      <c r="M146" s="283"/>
      <c r="N146" s="283"/>
      <c r="O146" s="269"/>
      <c r="P146" s="269"/>
      <c r="Q146" s="269"/>
    </row>
    <row r="147" spans="1:17" ht="12.75" hidden="1" customHeight="1" x14ac:dyDescent="0.2">
      <c r="A147" s="269"/>
      <c r="B147" s="269"/>
      <c r="C147" s="269"/>
      <c r="D147" s="269"/>
      <c r="E147" s="282"/>
      <c r="F147" s="283"/>
      <c r="G147" s="283"/>
      <c r="H147" s="284"/>
      <c r="I147" s="284"/>
      <c r="J147" s="283"/>
      <c r="K147" s="283"/>
      <c r="L147" s="283"/>
      <c r="M147" s="283"/>
      <c r="N147" s="283"/>
      <c r="O147" s="269"/>
      <c r="P147" s="269"/>
      <c r="Q147" s="269"/>
    </row>
    <row r="148" spans="1:17" ht="12.75" hidden="1" customHeight="1" x14ac:dyDescent="0.2">
      <c r="A148" s="269"/>
      <c r="B148" s="269"/>
      <c r="C148" s="269"/>
      <c r="D148" s="269"/>
      <c r="E148" s="282"/>
      <c r="F148" s="283"/>
      <c r="G148" s="283"/>
      <c r="H148" s="284"/>
      <c r="I148" s="284"/>
      <c r="J148" s="283"/>
      <c r="K148" s="283"/>
      <c r="L148" s="283"/>
      <c r="M148" s="283"/>
      <c r="N148" s="283"/>
      <c r="O148" s="269"/>
      <c r="P148" s="269"/>
      <c r="Q148" s="269"/>
    </row>
    <row r="149" spans="1:17" ht="12.75" hidden="1" customHeight="1" x14ac:dyDescent="0.2">
      <c r="A149" s="269"/>
      <c r="B149" s="269"/>
      <c r="C149" s="269"/>
      <c r="D149" s="269"/>
      <c r="E149" s="282"/>
      <c r="F149" s="283"/>
      <c r="G149" s="283"/>
      <c r="H149" s="284"/>
      <c r="I149" s="284"/>
      <c r="J149" s="283"/>
      <c r="K149" s="283"/>
      <c r="L149" s="283"/>
      <c r="M149" s="283"/>
      <c r="N149" s="283"/>
      <c r="O149" s="269"/>
      <c r="P149" s="269"/>
      <c r="Q149" s="269"/>
    </row>
    <row r="150" spans="1:17" ht="12.75" hidden="1" customHeight="1" x14ac:dyDescent="0.2">
      <c r="A150" s="269"/>
      <c r="B150" s="269"/>
      <c r="C150" s="269"/>
      <c r="D150" s="269"/>
      <c r="E150" s="282"/>
      <c r="F150" s="283"/>
      <c r="G150" s="283"/>
      <c r="H150" s="284"/>
      <c r="I150" s="284"/>
      <c r="J150" s="283"/>
      <c r="K150" s="283"/>
      <c r="L150" s="283"/>
      <c r="M150" s="283"/>
      <c r="N150" s="283"/>
      <c r="O150" s="269"/>
      <c r="P150" s="269"/>
      <c r="Q150" s="269"/>
    </row>
    <row r="151" spans="1:17" ht="12.75" hidden="1" customHeight="1" x14ac:dyDescent="0.2">
      <c r="A151" s="269"/>
      <c r="B151" s="269"/>
      <c r="C151" s="269"/>
      <c r="D151" s="269"/>
      <c r="E151" s="282"/>
      <c r="F151" s="283"/>
      <c r="G151" s="283"/>
      <c r="H151" s="284"/>
      <c r="I151" s="284"/>
      <c r="J151" s="283"/>
      <c r="K151" s="283"/>
      <c r="L151" s="283"/>
      <c r="M151" s="283"/>
      <c r="N151" s="283"/>
      <c r="O151" s="269"/>
      <c r="P151" s="269"/>
      <c r="Q151" s="269"/>
    </row>
    <row r="152" spans="1:17" ht="12.75" hidden="1" customHeight="1" x14ac:dyDescent="0.2">
      <c r="A152" s="269"/>
      <c r="B152" s="269"/>
      <c r="C152" s="269"/>
      <c r="D152" s="269"/>
      <c r="E152" s="282"/>
      <c r="F152" s="283"/>
      <c r="G152" s="283"/>
      <c r="H152" s="284"/>
      <c r="I152" s="284"/>
      <c r="J152" s="283"/>
      <c r="K152" s="283"/>
      <c r="L152" s="283"/>
      <c r="M152" s="283"/>
      <c r="N152" s="283"/>
      <c r="O152" s="269"/>
      <c r="P152" s="269"/>
      <c r="Q152" s="269"/>
    </row>
    <row r="153" spans="1:17" ht="12.75" hidden="1" customHeight="1" x14ac:dyDescent="0.2">
      <c r="A153" s="269"/>
      <c r="B153" s="269"/>
      <c r="C153" s="269"/>
      <c r="D153" s="269"/>
      <c r="E153" s="282"/>
      <c r="F153" s="283"/>
      <c r="G153" s="283"/>
      <c r="H153" s="284"/>
      <c r="I153" s="284"/>
      <c r="J153" s="283"/>
      <c r="K153" s="283"/>
      <c r="L153" s="283"/>
      <c r="M153" s="283"/>
      <c r="N153" s="283"/>
      <c r="O153" s="269"/>
      <c r="P153" s="269"/>
      <c r="Q153" s="269"/>
    </row>
    <row r="154" spans="1:17" ht="12.75" hidden="1" customHeight="1" x14ac:dyDescent="0.2">
      <c r="A154" s="269"/>
      <c r="B154" s="269"/>
      <c r="C154" s="269"/>
      <c r="D154" s="269"/>
      <c r="E154" s="282"/>
      <c r="F154" s="283"/>
      <c r="G154" s="283"/>
      <c r="H154" s="284"/>
      <c r="I154" s="284"/>
      <c r="J154" s="283"/>
      <c r="K154" s="283"/>
      <c r="L154" s="283"/>
      <c r="M154" s="283"/>
      <c r="N154" s="283"/>
      <c r="O154" s="269"/>
      <c r="P154" s="269"/>
      <c r="Q154" s="269"/>
    </row>
    <row r="155" spans="1:17" ht="12.75" hidden="1" customHeight="1" x14ac:dyDescent="0.2">
      <c r="A155" s="269"/>
      <c r="B155" s="269"/>
      <c r="C155" s="269"/>
      <c r="D155" s="269"/>
      <c r="E155" s="282"/>
      <c r="F155" s="283"/>
      <c r="G155" s="283"/>
      <c r="H155" s="284"/>
      <c r="I155" s="284"/>
      <c r="J155" s="283"/>
      <c r="K155" s="283"/>
      <c r="L155" s="283"/>
      <c r="M155" s="283"/>
      <c r="N155" s="283"/>
      <c r="O155" s="269"/>
      <c r="P155" s="269"/>
      <c r="Q155" s="269"/>
    </row>
    <row r="156" spans="1:17" ht="12.75" hidden="1" customHeight="1" x14ac:dyDescent="0.2">
      <c r="A156" s="269"/>
      <c r="B156" s="269"/>
      <c r="C156" s="269"/>
      <c r="D156" s="269"/>
      <c r="E156" s="282"/>
      <c r="F156" s="283"/>
      <c r="G156" s="283"/>
      <c r="H156" s="284"/>
      <c r="I156" s="284"/>
      <c r="J156" s="283"/>
      <c r="K156" s="283"/>
      <c r="L156" s="283"/>
      <c r="M156" s="283"/>
      <c r="N156" s="283"/>
      <c r="O156" s="269"/>
      <c r="P156" s="269"/>
      <c r="Q156" s="269"/>
    </row>
    <row r="157" spans="1:17" ht="12.75" hidden="1" customHeight="1" x14ac:dyDescent="0.2">
      <c r="A157" s="269"/>
      <c r="B157" s="269"/>
      <c r="C157" s="269"/>
      <c r="D157" s="269"/>
      <c r="E157" s="282"/>
      <c r="F157" s="283"/>
      <c r="G157" s="283"/>
      <c r="H157" s="284"/>
      <c r="I157" s="284"/>
      <c r="J157" s="283"/>
      <c r="K157" s="283"/>
      <c r="L157" s="283"/>
      <c r="M157" s="283"/>
      <c r="N157" s="283"/>
      <c r="O157" s="269"/>
      <c r="P157" s="269"/>
      <c r="Q157" s="269"/>
    </row>
    <row r="158" spans="1:17" ht="12.75" hidden="1" customHeight="1" x14ac:dyDescent="0.2">
      <c r="A158" s="269"/>
      <c r="B158" s="269"/>
      <c r="C158" s="269"/>
      <c r="D158" s="269"/>
      <c r="E158" s="282"/>
      <c r="F158" s="283"/>
      <c r="G158" s="283"/>
      <c r="H158" s="284"/>
      <c r="I158" s="284"/>
      <c r="J158" s="283"/>
      <c r="K158" s="283"/>
      <c r="L158" s="283"/>
      <c r="M158" s="283"/>
      <c r="N158" s="283"/>
      <c r="O158" s="269"/>
      <c r="P158" s="269"/>
      <c r="Q158" s="269"/>
    </row>
    <row r="159" spans="1:17" ht="12.75" hidden="1" customHeight="1" x14ac:dyDescent="0.2">
      <c r="A159" s="269"/>
      <c r="B159" s="269"/>
      <c r="C159" s="269"/>
      <c r="D159" s="269"/>
      <c r="E159" s="282"/>
      <c r="F159" s="283"/>
      <c r="G159" s="283"/>
      <c r="H159" s="284"/>
      <c r="I159" s="284"/>
      <c r="J159" s="283"/>
      <c r="K159" s="283"/>
      <c r="L159" s="283"/>
      <c r="M159" s="283"/>
      <c r="N159" s="283"/>
      <c r="O159" s="269"/>
      <c r="P159" s="269"/>
      <c r="Q159" s="269"/>
    </row>
    <row r="160" spans="1:17" ht="12.75" hidden="1" customHeight="1" x14ac:dyDescent="0.2">
      <c r="A160" s="269"/>
      <c r="B160" s="269"/>
      <c r="C160" s="269"/>
      <c r="D160" s="269"/>
      <c r="E160" s="282"/>
      <c r="F160" s="283"/>
      <c r="G160" s="283"/>
      <c r="H160" s="284"/>
      <c r="I160" s="284"/>
      <c r="J160" s="283"/>
      <c r="K160" s="283"/>
      <c r="L160" s="283"/>
      <c r="M160" s="283"/>
      <c r="N160" s="283"/>
      <c r="O160" s="269"/>
      <c r="P160" s="269"/>
      <c r="Q160" s="269"/>
    </row>
    <row r="161" spans="1:17" ht="12.75" hidden="1" customHeight="1" x14ac:dyDescent="0.2">
      <c r="A161" s="269"/>
      <c r="B161" s="269"/>
      <c r="C161" s="269"/>
      <c r="D161" s="269"/>
      <c r="E161" s="282"/>
      <c r="F161" s="283"/>
      <c r="G161" s="283"/>
      <c r="H161" s="284"/>
      <c r="I161" s="284"/>
      <c r="J161" s="283"/>
      <c r="K161" s="283"/>
      <c r="L161" s="283"/>
      <c r="M161" s="283"/>
      <c r="N161" s="283"/>
      <c r="O161" s="269"/>
      <c r="P161" s="269"/>
      <c r="Q161" s="269"/>
    </row>
    <row r="162" spans="1:17" ht="12.75" hidden="1" customHeight="1" x14ac:dyDescent="0.2">
      <c r="A162" s="269"/>
      <c r="B162" s="269"/>
      <c r="C162" s="269"/>
      <c r="D162" s="269"/>
      <c r="E162" s="282"/>
      <c r="F162" s="283"/>
      <c r="G162" s="283"/>
      <c r="H162" s="284"/>
      <c r="I162" s="284"/>
      <c r="J162" s="283"/>
      <c r="K162" s="283"/>
      <c r="L162" s="283"/>
      <c r="M162" s="283"/>
      <c r="N162" s="283"/>
      <c r="O162" s="269"/>
      <c r="P162" s="269"/>
      <c r="Q162" s="269"/>
    </row>
    <row r="163" spans="1:17" ht="12.75" hidden="1" customHeight="1" x14ac:dyDescent="0.2">
      <c r="A163" s="269"/>
      <c r="B163" s="269"/>
      <c r="C163" s="269"/>
      <c r="D163" s="269"/>
      <c r="E163" s="282"/>
      <c r="F163" s="283"/>
      <c r="G163" s="283"/>
      <c r="H163" s="284"/>
      <c r="I163" s="284"/>
      <c r="J163" s="283"/>
      <c r="K163" s="283"/>
      <c r="L163" s="283"/>
      <c r="M163" s="283"/>
      <c r="N163" s="283"/>
      <c r="O163" s="269"/>
      <c r="P163" s="269"/>
      <c r="Q163" s="269"/>
    </row>
    <row r="164" spans="1:17" ht="12.75" hidden="1" customHeight="1" x14ac:dyDescent="0.2">
      <c r="A164" s="269"/>
      <c r="B164" s="269"/>
      <c r="C164" s="269"/>
      <c r="D164" s="269"/>
      <c r="E164" s="282"/>
      <c r="F164" s="283"/>
      <c r="G164" s="283"/>
      <c r="H164" s="284"/>
      <c r="I164" s="284"/>
      <c r="J164" s="283"/>
      <c r="K164" s="283"/>
      <c r="L164" s="283"/>
      <c r="M164" s="283"/>
      <c r="N164" s="283"/>
      <c r="O164" s="269"/>
      <c r="P164" s="269"/>
      <c r="Q164" s="269"/>
    </row>
    <row r="165" spans="1:17" ht="12.75" hidden="1" customHeight="1" x14ac:dyDescent="0.2">
      <c r="A165" s="269"/>
      <c r="B165" s="269"/>
      <c r="C165" s="269"/>
      <c r="D165" s="269"/>
      <c r="E165" s="282"/>
      <c r="F165" s="283"/>
      <c r="G165" s="283"/>
      <c r="H165" s="284"/>
      <c r="I165" s="284"/>
      <c r="J165" s="283"/>
      <c r="K165" s="283"/>
      <c r="L165" s="283"/>
      <c r="M165" s="283"/>
      <c r="N165" s="283"/>
      <c r="O165" s="269"/>
      <c r="P165" s="269"/>
      <c r="Q165" s="269"/>
    </row>
    <row r="166" spans="1:17" ht="12.75" hidden="1" customHeight="1" x14ac:dyDescent="0.2">
      <c r="A166" s="269"/>
      <c r="B166" s="269"/>
      <c r="C166" s="269"/>
      <c r="D166" s="269"/>
      <c r="E166" s="282"/>
      <c r="F166" s="283"/>
      <c r="G166" s="283"/>
      <c r="H166" s="284"/>
      <c r="I166" s="284"/>
      <c r="J166" s="283"/>
      <c r="K166" s="283"/>
      <c r="L166" s="283"/>
      <c r="M166" s="283"/>
      <c r="N166" s="283"/>
      <c r="O166" s="269"/>
      <c r="P166" s="269"/>
      <c r="Q166" s="269"/>
    </row>
    <row r="167" spans="1:17" ht="12.75" hidden="1" customHeight="1" x14ac:dyDescent="0.2">
      <c r="A167" s="269"/>
      <c r="B167" s="269"/>
      <c r="C167" s="269"/>
      <c r="D167" s="269"/>
      <c r="E167" s="282"/>
      <c r="F167" s="283"/>
      <c r="G167" s="283"/>
      <c r="H167" s="284"/>
      <c r="I167" s="284"/>
      <c r="J167" s="283"/>
      <c r="K167" s="283"/>
      <c r="L167" s="283"/>
      <c r="M167" s="283"/>
      <c r="N167" s="283"/>
      <c r="O167" s="269"/>
      <c r="P167" s="269"/>
      <c r="Q167" s="269"/>
    </row>
    <row r="168" spans="1:17" ht="12.75" hidden="1" customHeight="1" x14ac:dyDescent="0.2">
      <c r="A168" s="269"/>
      <c r="B168" s="269"/>
      <c r="C168" s="269"/>
      <c r="D168" s="269"/>
      <c r="E168" s="282"/>
      <c r="F168" s="283"/>
      <c r="G168" s="283"/>
      <c r="H168" s="284"/>
      <c r="I168" s="284"/>
      <c r="J168" s="283"/>
      <c r="K168" s="283"/>
      <c r="L168" s="283"/>
      <c r="M168" s="283"/>
      <c r="N168" s="283"/>
      <c r="O168" s="269"/>
      <c r="P168" s="269"/>
      <c r="Q168" s="269"/>
    </row>
    <row r="169" spans="1:17" ht="12.75" hidden="1" customHeight="1" x14ac:dyDescent="0.2">
      <c r="A169" s="269"/>
      <c r="B169" s="269"/>
      <c r="C169" s="269"/>
      <c r="D169" s="269"/>
      <c r="E169" s="282"/>
      <c r="F169" s="283"/>
      <c r="G169" s="283"/>
      <c r="H169" s="284"/>
      <c r="I169" s="284"/>
      <c r="J169" s="283"/>
      <c r="K169" s="283"/>
      <c r="L169" s="283"/>
      <c r="M169" s="283"/>
      <c r="N169" s="283"/>
      <c r="O169" s="269"/>
      <c r="P169" s="269"/>
      <c r="Q169" s="269"/>
    </row>
    <row r="170" spans="1:17" ht="12.75" hidden="1" customHeight="1" x14ac:dyDescent="0.2">
      <c r="A170" s="269"/>
      <c r="B170" s="269"/>
      <c r="C170" s="269"/>
      <c r="D170" s="269"/>
      <c r="E170" s="282"/>
      <c r="F170" s="283"/>
      <c r="G170" s="283"/>
      <c r="H170" s="284"/>
      <c r="I170" s="284"/>
      <c r="J170" s="283"/>
      <c r="K170" s="283"/>
      <c r="L170" s="283"/>
      <c r="M170" s="283"/>
      <c r="N170" s="283"/>
      <c r="O170" s="269"/>
      <c r="P170" s="269"/>
      <c r="Q170" s="269"/>
    </row>
    <row r="171" spans="1:17" ht="12.75" hidden="1" customHeight="1" x14ac:dyDescent="0.2">
      <c r="A171" s="269"/>
      <c r="B171" s="269"/>
      <c r="C171" s="269"/>
      <c r="D171" s="269"/>
      <c r="E171" s="282"/>
      <c r="F171" s="283"/>
      <c r="G171" s="283"/>
      <c r="H171" s="284"/>
      <c r="I171" s="284"/>
      <c r="J171" s="283"/>
      <c r="K171" s="283"/>
      <c r="L171" s="283"/>
      <c r="M171" s="283"/>
      <c r="N171" s="283"/>
      <c r="O171" s="269"/>
      <c r="P171" s="269"/>
      <c r="Q171" s="269"/>
    </row>
    <row r="172" spans="1:17" ht="12.75" hidden="1" customHeight="1" x14ac:dyDescent="0.2">
      <c r="A172" s="269"/>
      <c r="B172" s="269"/>
      <c r="C172" s="269"/>
      <c r="D172" s="269"/>
      <c r="E172" s="282"/>
      <c r="F172" s="283"/>
      <c r="G172" s="283"/>
      <c r="H172" s="284"/>
      <c r="I172" s="284"/>
      <c r="J172" s="283"/>
      <c r="K172" s="283"/>
      <c r="L172" s="283"/>
      <c r="M172" s="283"/>
      <c r="N172" s="283"/>
      <c r="O172" s="269"/>
      <c r="P172" s="269"/>
      <c r="Q172" s="269"/>
    </row>
    <row r="173" spans="1:17" ht="12.75" hidden="1" customHeight="1" x14ac:dyDescent="0.2">
      <c r="A173" s="269"/>
      <c r="B173" s="269"/>
      <c r="C173" s="269"/>
      <c r="D173" s="269"/>
      <c r="E173" s="282"/>
      <c r="F173" s="283"/>
      <c r="G173" s="283"/>
      <c r="H173" s="284"/>
      <c r="I173" s="284"/>
      <c r="J173" s="283"/>
      <c r="K173" s="283"/>
      <c r="L173" s="283"/>
      <c r="M173" s="283"/>
      <c r="N173" s="283"/>
      <c r="O173" s="269"/>
      <c r="P173" s="269"/>
      <c r="Q173" s="269"/>
    </row>
    <row r="174" spans="1:17" ht="12.75" hidden="1" customHeight="1" x14ac:dyDescent="0.2">
      <c r="A174" s="269"/>
      <c r="B174" s="269"/>
      <c r="C174" s="269"/>
      <c r="D174" s="269"/>
      <c r="E174" s="282"/>
      <c r="F174" s="283"/>
      <c r="G174" s="283"/>
      <c r="H174" s="284"/>
      <c r="I174" s="284"/>
      <c r="J174" s="283"/>
      <c r="K174" s="283"/>
      <c r="L174" s="283"/>
      <c r="M174" s="283"/>
      <c r="N174" s="283"/>
      <c r="O174" s="269"/>
      <c r="P174" s="269"/>
      <c r="Q174" s="269"/>
    </row>
    <row r="175" spans="1:17" ht="12.75" hidden="1" customHeight="1" x14ac:dyDescent="0.2">
      <c r="A175" s="269"/>
      <c r="B175" s="269"/>
      <c r="C175" s="269"/>
      <c r="D175" s="269"/>
      <c r="E175" s="282"/>
      <c r="F175" s="283"/>
      <c r="G175" s="283"/>
      <c r="H175" s="284"/>
      <c r="I175" s="284"/>
      <c r="J175" s="283"/>
      <c r="K175" s="283"/>
      <c r="L175" s="283"/>
      <c r="M175" s="283"/>
      <c r="N175" s="283"/>
      <c r="O175" s="269"/>
      <c r="P175" s="269"/>
      <c r="Q175" s="269"/>
    </row>
    <row r="176" spans="1:17" ht="12.75" hidden="1" customHeight="1" x14ac:dyDescent="0.2">
      <c r="A176" s="269"/>
      <c r="B176" s="269"/>
      <c r="C176" s="269"/>
      <c r="D176" s="269"/>
      <c r="E176" s="282"/>
      <c r="F176" s="283"/>
      <c r="G176" s="283"/>
      <c r="H176" s="284"/>
      <c r="I176" s="284"/>
      <c r="J176" s="283"/>
      <c r="K176" s="283"/>
      <c r="L176" s="283"/>
      <c r="M176" s="283"/>
      <c r="N176" s="283"/>
      <c r="O176" s="269"/>
      <c r="P176" s="269"/>
      <c r="Q176" s="269"/>
    </row>
    <row r="177" spans="1:17" ht="12.75" hidden="1" customHeight="1" x14ac:dyDescent="0.2">
      <c r="A177" s="269"/>
      <c r="B177" s="269"/>
      <c r="C177" s="269"/>
      <c r="D177" s="269"/>
      <c r="E177" s="282"/>
      <c r="F177" s="283"/>
      <c r="G177" s="283"/>
      <c r="H177" s="284"/>
      <c r="I177" s="284"/>
      <c r="J177" s="283"/>
      <c r="K177" s="283"/>
      <c r="L177" s="283"/>
      <c r="M177" s="283"/>
      <c r="N177" s="283"/>
      <c r="O177" s="269"/>
      <c r="P177" s="269"/>
      <c r="Q177" s="269"/>
    </row>
    <row r="178" spans="1:17" ht="12.75" hidden="1" customHeight="1" x14ac:dyDescent="0.2">
      <c r="A178" s="269"/>
      <c r="B178" s="269"/>
      <c r="C178" s="269"/>
      <c r="D178" s="269"/>
      <c r="E178" s="282"/>
      <c r="F178" s="283"/>
      <c r="G178" s="283"/>
      <c r="H178" s="284"/>
      <c r="I178" s="284"/>
      <c r="J178" s="283"/>
      <c r="K178" s="283"/>
      <c r="L178" s="283"/>
      <c r="M178" s="283"/>
      <c r="N178" s="283"/>
      <c r="O178" s="269"/>
      <c r="P178" s="269"/>
      <c r="Q178" s="269"/>
    </row>
    <row r="179" spans="1:17" ht="12.75" hidden="1" customHeight="1" x14ac:dyDescent="0.2">
      <c r="A179" s="269"/>
      <c r="B179" s="269"/>
      <c r="C179" s="269"/>
      <c r="D179" s="269"/>
      <c r="E179" s="282"/>
      <c r="F179" s="283"/>
      <c r="G179" s="283"/>
      <c r="H179" s="284"/>
      <c r="I179" s="284"/>
      <c r="J179" s="283"/>
      <c r="K179" s="283"/>
      <c r="L179" s="283"/>
      <c r="M179" s="283"/>
      <c r="N179" s="283"/>
      <c r="O179" s="269"/>
      <c r="P179" s="269"/>
      <c r="Q179" s="269"/>
    </row>
    <row r="180" spans="1:17" ht="12.75" hidden="1" customHeight="1" x14ac:dyDescent="0.2">
      <c r="A180" s="269"/>
      <c r="B180" s="269"/>
      <c r="C180" s="269"/>
      <c r="D180" s="269"/>
      <c r="E180" s="282"/>
      <c r="F180" s="283"/>
      <c r="G180" s="283"/>
      <c r="H180" s="284"/>
      <c r="I180" s="284"/>
      <c r="J180" s="283"/>
      <c r="K180" s="283"/>
      <c r="L180" s="283"/>
      <c r="M180" s="283"/>
      <c r="N180" s="283"/>
      <c r="O180" s="269"/>
      <c r="P180" s="269"/>
      <c r="Q180" s="269"/>
    </row>
    <row r="181" spans="1:17" ht="12.75" hidden="1" customHeight="1" x14ac:dyDescent="0.2">
      <c r="A181" s="269"/>
      <c r="B181" s="269"/>
      <c r="C181" s="269"/>
      <c r="D181" s="269"/>
      <c r="E181" s="282"/>
      <c r="F181" s="283"/>
      <c r="G181" s="283"/>
      <c r="H181" s="284"/>
      <c r="I181" s="284"/>
      <c r="J181" s="283"/>
      <c r="K181" s="283"/>
      <c r="L181" s="283"/>
      <c r="M181" s="283"/>
      <c r="N181" s="283"/>
      <c r="O181" s="269"/>
      <c r="P181" s="269"/>
      <c r="Q181" s="269"/>
    </row>
    <row r="182" spans="1:17" ht="12.75" hidden="1" customHeight="1" x14ac:dyDescent="0.2">
      <c r="A182" s="269"/>
      <c r="B182" s="269"/>
      <c r="C182" s="269"/>
      <c r="D182" s="269"/>
      <c r="E182" s="282"/>
      <c r="F182" s="283"/>
      <c r="G182" s="283"/>
      <c r="H182" s="284"/>
      <c r="I182" s="284"/>
      <c r="J182" s="283"/>
      <c r="K182" s="283"/>
      <c r="L182" s="283"/>
      <c r="M182" s="283"/>
      <c r="N182" s="283"/>
      <c r="O182" s="269"/>
      <c r="P182" s="269"/>
      <c r="Q182" s="269"/>
    </row>
    <row r="183" spans="1:17" ht="12.75" hidden="1" customHeight="1" x14ac:dyDescent="0.2">
      <c r="A183" s="269"/>
      <c r="B183" s="269"/>
      <c r="C183" s="269"/>
      <c r="D183" s="269"/>
      <c r="E183" s="282"/>
      <c r="F183" s="283"/>
      <c r="G183" s="283"/>
      <c r="H183" s="284"/>
      <c r="I183" s="284"/>
      <c r="J183" s="283"/>
      <c r="K183" s="283"/>
      <c r="L183" s="283"/>
      <c r="M183" s="283"/>
      <c r="N183" s="283"/>
      <c r="O183" s="269"/>
      <c r="P183" s="269"/>
      <c r="Q183" s="269"/>
    </row>
    <row r="184" spans="1:17" ht="12.75" hidden="1" customHeight="1" x14ac:dyDescent="0.2">
      <c r="A184" s="269"/>
      <c r="B184" s="269"/>
      <c r="C184" s="269"/>
      <c r="D184" s="269"/>
      <c r="E184" s="282"/>
      <c r="F184" s="283"/>
      <c r="G184" s="283"/>
      <c r="H184" s="284"/>
      <c r="I184" s="284"/>
      <c r="J184" s="283"/>
      <c r="K184" s="283"/>
      <c r="L184" s="283"/>
      <c r="M184" s="283"/>
      <c r="N184" s="283"/>
      <c r="O184" s="269"/>
      <c r="P184" s="269"/>
      <c r="Q184" s="269"/>
    </row>
    <row r="185" spans="1:17" ht="12.75" hidden="1" customHeight="1" x14ac:dyDescent="0.2">
      <c r="A185" s="269"/>
      <c r="B185" s="269"/>
      <c r="C185" s="269"/>
      <c r="D185" s="269"/>
      <c r="E185" s="282"/>
      <c r="F185" s="283"/>
      <c r="G185" s="283"/>
      <c r="H185" s="284"/>
      <c r="I185" s="284"/>
      <c r="J185" s="283"/>
      <c r="K185" s="283"/>
      <c r="L185" s="283"/>
      <c r="M185" s="283"/>
      <c r="N185" s="283"/>
      <c r="O185" s="269"/>
      <c r="P185" s="269"/>
      <c r="Q185" s="269"/>
    </row>
    <row r="186" spans="1:17" ht="12.75" hidden="1" customHeight="1" x14ac:dyDescent="0.2">
      <c r="A186" s="269"/>
      <c r="B186" s="269"/>
      <c r="C186" s="269"/>
      <c r="D186" s="269"/>
      <c r="E186" s="282"/>
      <c r="F186" s="283"/>
      <c r="G186" s="283"/>
      <c r="H186" s="284"/>
      <c r="I186" s="284"/>
      <c r="J186" s="283"/>
      <c r="K186" s="283"/>
      <c r="L186" s="283"/>
      <c r="M186" s="283"/>
      <c r="N186" s="283"/>
      <c r="O186" s="269"/>
      <c r="P186" s="269"/>
      <c r="Q186" s="269"/>
    </row>
    <row r="187" spans="1:17" ht="12.75" hidden="1" customHeight="1" x14ac:dyDescent="0.2">
      <c r="A187" s="269"/>
      <c r="B187" s="269"/>
      <c r="C187" s="269"/>
      <c r="D187" s="269"/>
      <c r="E187" s="282"/>
      <c r="F187" s="283"/>
      <c r="G187" s="283"/>
      <c r="H187" s="284"/>
      <c r="I187" s="284"/>
      <c r="J187" s="283"/>
      <c r="K187" s="283"/>
      <c r="L187" s="283"/>
      <c r="M187" s="283"/>
      <c r="N187" s="283"/>
      <c r="O187" s="269"/>
      <c r="P187" s="269"/>
      <c r="Q187" s="269"/>
    </row>
    <row r="188" spans="1:17" ht="12.75" hidden="1" customHeight="1" x14ac:dyDescent="0.2">
      <c r="A188" s="269"/>
      <c r="B188" s="269"/>
      <c r="C188" s="269"/>
      <c r="D188" s="269"/>
      <c r="E188" s="282"/>
      <c r="F188" s="283"/>
      <c r="G188" s="283"/>
      <c r="H188" s="284"/>
      <c r="I188" s="284"/>
      <c r="J188" s="283"/>
      <c r="K188" s="283"/>
      <c r="L188" s="283"/>
      <c r="M188" s="283"/>
      <c r="N188" s="283"/>
      <c r="O188" s="269"/>
      <c r="P188" s="269"/>
      <c r="Q188" s="269"/>
    </row>
    <row r="189" spans="1:17" ht="12.75" hidden="1" customHeight="1" x14ac:dyDescent="0.2">
      <c r="A189" s="269"/>
      <c r="B189" s="269"/>
      <c r="C189" s="269"/>
      <c r="D189" s="269"/>
      <c r="E189" s="282"/>
      <c r="F189" s="283"/>
      <c r="G189" s="283"/>
      <c r="H189" s="284"/>
      <c r="I189" s="284"/>
      <c r="J189" s="283"/>
      <c r="K189" s="283"/>
      <c r="L189" s="283"/>
      <c r="M189" s="283"/>
      <c r="N189" s="283"/>
      <c r="O189" s="269"/>
      <c r="P189" s="269"/>
      <c r="Q189" s="269"/>
    </row>
    <row r="190" spans="1:17" ht="12.75" hidden="1" customHeight="1" x14ac:dyDescent="0.2">
      <c r="A190" s="269"/>
      <c r="B190" s="269"/>
      <c r="C190" s="269"/>
      <c r="D190" s="269"/>
      <c r="E190" s="282"/>
      <c r="F190" s="283"/>
      <c r="G190" s="283"/>
      <c r="H190" s="284"/>
      <c r="I190" s="284"/>
      <c r="J190" s="283"/>
      <c r="K190" s="283"/>
      <c r="L190" s="283"/>
      <c r="M190" s="283"/>
      <c r="N190" s="283"/>
      <c r="O190" s="269"/>
      <c r="P190" s="269"/>
      <c r="Q190" s="269"/>
    </row>
    <row r="191" spans="1:17" ht="12.75" hidden="1" customHeight="1" x14ac:dyDescent="0.2">
      <c r="A191" s="269"/>
      <c r="B191" s="269"/>
      <c r="C191" s="269"/>
      <c r="D191" s="269"/>
      <c r="E191" s="282"/>
      <c r="F191" s="283"/>
      <c r="G191" s="283"/>
      <c r="H191" s="284"/>
      <c r="I191" s="284"/>
      <c r="J191" s="283"/>
      <c r="K191" s="283"/>
      <c r="L191" s="283"/>
      <c r="M191" s="283"/>
      <c r="N191" s="283"/>
      <c r="O191" s="269"/>
      <c r="P191" s="269"/>
      <c r="Q191" s="269"/>
    </row>
    <row r="192" spans="1:17" ht="12.75" hidden="1" customHeight="1" x14ac:dyDescent="0.2">
      <c r="A192" s="269"/>
      <c r="B192" s="269"/>
      <c r="C192" s="269"/>
      <c r="D192" s="269"/>
      <c r="E192" s="282"/>
      <c r="F192" s="283"/>
      <c r="G192" s="283"/>
      <c r="H192" s="284"/>
      <c r="I192" s="284"/>
      <c r="J192" s="283"/>
      <c r="K192" s="283"/>
      <c r="L192" s="283"/>
      <c r="M192" s="283"/>
      <c r="N192" s="283"/>
      <c r="O192" s="269"/>
      <c r="P192" s="269"/>
      <c r="Q192" s="269"/>
    </row>
    <row r="193" spans="1:17" ht="12.75" hidden="1" customHeight="1" x14ac:dyDescent="0.2">
      <c r="A193" s="269"/>
      <c r="B193" s="269"/>
      <c r="C193" s="269"/>
      <c r="D193" s="269"/>
      <c r="E193" s="282"/>
      <c r="F193" s="283"/>
      <c r="G193" s="283"/>
      <c r="H193" s="284"/>
      <c r="I193" s="284"/>
      <c r="J193" s="283"/>
      <c r="K193" s="283"/>
      <c r="L193" s="283"/>
      <c r="M193" s="283"/>
      <c r="N193" s="283"/>
      <c r="O193" s="269"/>
      <c r="P193" s="269"/>
      <c r="Q193" s="269"/>
    </row>
    <row r="194" spans="1:17" ht="12.75" hidden="1" customHeight="1" x14ac:dyDescent="0.2">
      <c r="A194" s="269"/>
      <c r="B194" s="269"/>
      <c r="C194" s="269"/>
      <c r="D194" s="269"/>
      <c r="E194" s="282"/>
      <c r="F194" s="283"/>
      <c r="G194" s="283"/>
      <c r="H194" s="284"/>
      <c r="I194" s="284"/>
      <c r="J194" s="283"/>
      <c r="K194" s="283"/>
      <c r="L194" s="283"/>
      <c r="M194" s="283"/>
      <c r="N194" s="283"/>
      <c r="O194" s="269"/>
      <c r="P194" s="269"/>
      <c r="Q194" s="269"/>
    </row>
    <row r="195" spans="1:17" ht="12.75" hidden="1" customHeight="1" x14ac:dyDescent="0.2">
      <c r="A195" s="269"/>
      <c r="B195" s="269"/>
      <c r="C195" s="269"/>
      <c r="D195" s="269"/>
      <c r="E195" s="282"/>
      <c r="F195" s="283"/>
      <c r="G195" s="283"/>
      <c r="H195" s="284"/>
      <c r="I195" s="284"/>
      <c r="J195" s="283"/>
      <c r="K195" s="283"/>
      <c r="L195" s="283"/>
      <c r="M195" s="283"/>
      <c r="N195" s="283"/>
      <c r="O195" s="269"/>
      <c r="P195" s="269"/>
      <c r="Q195" s="269"/>
    </row>
    <row r="196" spans="1:17" ht="12.75" hidden="1" customHeight="1" x14ac:dyDescent="0.2">
      <c r="A196" s="269"/>
      <c r="B196" s="269"/>
      <c r="C196" s="269"/>
      <c r="D196" s="269"/>
      <c r="E196" s="282"/>
      <c r="F196" s="283"/>
      <c r="G196" s="283"/>
      <c r="H196" s="284"/>
      <c r="I196" s="284"/>
      <c r="J196" s="283"/>
      <c r="K196" s="283"/>
      <c r="L196" s="283"/>
      <c r="M196" s="283"/>
      <c r="N196" s="283"/>
      <c r="O196" s="269"/>
      <c r="P196" s="269"/>
      <c r="Q196" s="269"/>
    </row>
    <row r="197" spans="1:17" ht="12.75" hidden="1" customHeight="1" x14ac:dyDescent="0.2">
      <c r="A197" s="269"/>
      <c r="B197" s="269"/>
      <c r="C197" s="269"/>
      <c r="D197" s="269"/>
      <c r="E197" s="282"/>
      <c r="F197" s="283"/>
      <c r="G197" s="283"/>
      <c r="H197" s="284"/>
      <c r="I197" s="284"/>
      <c r="J197" s="283"/>
      <c r="K197" s="283"/>
      <c r="L197" s="283"/>
      <c r="M197" s="283"/>
      <c r="N197" s="283"/>
      <c r="O197" s="269"/>
      <c r="P197" s="269"/>
      <c r="Q197" s="269"/>
    </row>
    <row r="198" spans="1:17" ht="12.75" hidden="1" customHeight="1" x14ac:dyDescent="0.2">
      <c r="A198" s="269"/>
      <c r="B198" s="269"/>
      <c r="C198" s="269"/>
      <c r="D198" s="269"/>
      <c r="E198" s="282"/>
      <c r="F198" s="283"/>
      <c r="G198" s="283"/>
      <c r="H198" s="284"/>
      <c r="I198" s="284"/>
      <c r="J198" s="283"/>
      <c r="K198" s="283"/>
      <c r="L198" s="283"/>
      <c r="M198" s="283"/>
      <c r="N198" s="283"/>
      <c r="O198" s="269"/>
      <c r="P198" s="269"/>
      <c r="Q198" s="269"/>
    </row>
    <row r="199" spans="1:17" ht="12.75" hidden="1" customHeight="1" x14ac:dyDescent="0.2">
      <c r="A199" s="269"/>
      <c r="B199" s="269"/>
      <c r="C199" s="269"/>
      <c r="D199" s="269"/>
      <c r="E199" s="282"/>
      <c r="F199" s="283"/>
      <c r="G199" s="283"/>
      <c r="H199" s="284"/>
      <c r="I199" s="284"/>
      <c r="J199" s="283"/>
      <c r="K199" s="283"/>
      <c r="L199" s="283"/>
      <c r="M199" s="283"/>
      <c r="N199" s="283"/>
      <c r="O199" s="269"/>
      <c r="P199" s="269"/>
      <c r="Q199" s="269"/>
    </row>
    <row r="200" spans="1:17" ht="12.75" hidden="1" customHeight="1" x14ac:dyDescent="0.2">
      <c r="A200" s="269"/>
      <c r="B200" s="269"/>
      <c r="C200" s="269"/>
      <c r="D200" s="269"/>
      <c r="E200" s="282"/>
      <c r="F200" s="283"/>
      <c r="G200" s="283"/>
      <c r="H200" s="284"/>
      <c r="I200" s="284"/>
      <c r="J200" s="283"/>
      <c r="K200" s="283"/>
      <c r="L200" s="283"/>
      <c r="M200" s="283"/>
      <c r="N200" s="283"/>
      <c r="O200" s="269"/>
      <c r="P200" s="269"/>
      <c r="Q200" s="269"/>
    </row>
    <row r="201" spans="1:17" ht="12.75" hidden="1" customHeight="1" x14ac:dyDescent="0.2">
      <c r="A201" s="269"/>
      <c r="B201" s="269"/>
      <c r="C201" s="269"/>
      <c r="D201" s="269"/>
      <c r="E201" s="282"/>
      <c r="F201" s="283"/>
      <c r="G201" s="283"/>
      <c r="H201" s="284"/>
      <c r="I201" s="284"/>
      <c r="J201" s="283"/>
      <c r="K201" s="283"/>
      <c r="L201" s="283"/>
      <c r="M201" s="283"/>
      <c r="N201" s="283"/>
      <c r="O201" s="269"/>
      <c r="P201" s="269"/>
      <c r="Q201" s="269"/>
    </row>
    <row r="202" spans="1:17" ht="12.75" hidden="1" customHeight="1" x14ac:dyDescent="0.2">
      <c r="A202" s="269"/>
      <c r="B202" s="269"/>
      <c r="C202" s="269"/>
      <c r="D202" s="269"/>
      <c r="E202" s="282"/>
      <c r="F202" s="283"/>
      <c r="G202" s="283"/>
      <c r="H202" s="284"/>
      <c r="I202" s="284"/>
      <c r="J202" s="283"/>
      <c r="K202" s="283"/>
      <c r="L202" s="283"/>
      <c r="M202" s="283"/>
      <c r="N202" s="283"/>
      <c r="O202" s="269"/>
      <c r="P202" s="269"/>
      <c r="Q202" s="269"/>
    </row>
    <row r="203" spans="1:17" ht="12.75" hidden="1" customHeight="1" x14ac:dyDescent="0.2">
      <c r="A203" s="269"/>
      <c r="B203" s="269"/>
      <c r="C203" s="269"/>
      <c r="D203" s="269"/>
      <c r="E203" s="282"/>
      <c r="F203" s="283"/>
      <c r="G203" s="283"/>
      <c r="H203" s="284"/>
      <c r="I203" s="284"/>
      <c r="J203" s="283"/>
      <c r="K203" s="283"/>
      <c r="L203" s="283"/>
      <c r="M203" s="283"/>
      <c r="N203" s="283"/>
      <c r="O203" s="269"/>
      <c r="P203" s="269"/>
      <c r="Q203" s="269"/>
    </row>
    <row r="204" spans="1:17" ht="12.75" hidden="1" customHeight="1" x14ac:dyDescent="0.2">
      <c r="A204" s="269"/>
      <c r="B204" s="269"/>
      <c r="C204" s="269"/>
      <c r="D204" s="269"/>
      <c r="E204" s="282"/>
      <c r="F204" s="283"/>
      <c r="G204" s="283"/>
      <c r="H204" s="284"/>
      <c r="I204" s="284"/>
      <c r="J204" s="283"/>
      <c r="K204" s="283"/>
      <c r="L204" s="283"/>
      <c r="M204" s="283"/>
      <c r="N204" s="283"/>
      <c r="O204" s="269"/>
      <c r="P204" s="269"/>
      <c r="Q204" s="269"/>
    </row>
    <row r="205" spans="1:17" ht="12.75" hidden="1" customHeight="1" x14ac:dyDescent="0.2">
      <c r="A205" s="269"/>
      <c r="B205" s="269"/>
      <c r="C205" s="269"/>
      <c r="D205" s="269"/>
      <c r="E205" s="282"/>
      <c r="F205" s="283"/>
      <c r="G205" s="283"/>
      <c r="H205" s="284"/>
      <c r="I205" s="284"/>
      <c r="J205" s="283"/>
      <c r="K205" s="283"/>
      <c r="L205" s="283"/>
      <c r="M205" s="283"/>
      <c r="N205" s="283"/>
      <c r="O205" s="269"/>
      <c r="P205" s="269"/>
      <c r="Q205" s="269"/>
    </row>
    <row r="206" spans="1:17" ht="12.75" hidden="1" customHeight="1" x14ac:dyDescent="0.2">
      <c r="A206" s="269"/>
      <c r="B206" s="269"/>
      <c r="C206" s="269"/>
      <c r="D206" s="269"/>
      <c r="E206" s="282"/>
      <c r="F206" s="283"/>
      <c r="G206" s="283"/>
      <c r="H206" s="284"/>
      <c r="I206" s="284"/>
      <c r="J206" s="283"/>
      <c r="K206" s="283"/>
      <c r="L206" s="283"/>
      <c r="M206" s="283"/>
      <c r="N206" s="283"/>
      <c r="O206" s="269"/>
      <c r="P206" s="269"/>
      <c r="Q206" s="269"/>
    </row>
    <row r="207" spans="1:17" ht="12.75" hidden="1" customHeight="1" x14ac:dyDescent="0.2">
      <c r="A207" s="269"/>
      <c r="B207" s="269"/>
      <c r="C207" s="269"/>
      <c r="D207" s="269"/>
      <c r="E207" s="282"/>
      <c r="F207" s="283"/>
      <c r="G207" s="283"/>
      <c r="H207" s="284"/>
      <c r="I207" s="284"/>
      <c r="J207" s="283"/>
      <c r="K207" s="283"/>
      <c r="L207" s="283"/>
      <c r="M207" s="283"/>
      <c r="N207" s="283"/>
      <c r="O207" s="269"/>
      <c r="P207" s="269"/>
      <c r="Q207" s="269"/>
    </row>
    <row r="208" spans="1:17" ht="12.75" hidden="1" customHeight="1" x14ac:dyDescent="0.2">
      <c r="A208" s="269"/>
      <c r="B208" s="269"/>
      <c r="C208" s="269"/>
      <c r="D208" s="269"/>
      <c r="E208" s="282"/>
      <c r="F208" s="283"/>
      <c r="G208" s="283"/>
      <c r="H208" s="284"/>
      <c r="I208" s="284"/>
      <c r="J208" s="283"/>
      <c r="K208" s="283"/>
      <c r="L208" s="283"/>
      <c r="M208" s="283"/>
      <c r="N208" s="283"/>
      <c r="O208" s="269"/>
      <c r="P208" s="269"/>
      <c r="Q208" s="269"/>
    </row>
    <row r="209" spans="1:17" ht="12.75" hidden="1" customHeight="1" x14ac:dyDescent="0.2">
      <c r="A209" s="269"/>
      <c r="B209" s="269"/>
      <c r="C209" s="269"/>
      <c r="D209" s="269"/>
      <c r="E209" s="282"/>
      <c r="F209" s="283"/>
      <c r="G209" s="283"/>
      <c r="H209" s="284"/>
      <c r="I209" s="284"/>
      <c r="J209" s="283"/>
      <c r="K209" s="283"/>
      <c r="L209" s="283"/>
      <c r="M209" s="283"/>
      <c r="N209" s="283"/>
      <c r="O209" s="269"/>
      <c r="P209" s="269"/>
      <c r="Q209" s="269"/>
    </row>
    <row r="210" spans="1:17" ht="12.75" hidden="1" customHeight="1" x14ac:dyDescent="0.2">
      <c r="A210" s="269"/>
      <c r="B210" s="269"/>
      <c r="C210" s="269"/>
      <c r="D210" s="269"/>
      <c r="E210" s="282"/>
      <c r="F210" s="283"/>
      <c r="G210" s="283"/>
      <c r="H210" s="284"/>
      <c r="I210" s="284"/>
      <c r="J210" s="283"/>
      <c r="K210" s="283"/>
      <c r="L210" s="283"/>
      <c r="M210" s="283"/>
      <c r="N210" s="283"/>
      <c r="O210" s="269"/>
      <c r="P210" s="269"/>
      <c r="Q210" s="269"/>
    </row>
    <row r="211" spans="1:17" ht="12.75" hidden="1" customHeight="1" x14ac:dyDescent="0.2">
      <c r="A211" s="269"/>
      <c r="B211" s="269"/>
      <c r="C211" s="269"/>
      <c r="D211" s="269"/>
      <c r="E211" s="282"/>
      <c r="F211" s="283"/>
      <c r="G211" s="283"/>
      <c r="H211" s="284"/>
      <c r="I211" s="284"/>
      <c r="J211" s="283"/>
      <c r="K211" s="283"/>
      <c r="L211" s="283"/>
      <c r="M211" s="283"/>
      <c r="N211" s="283"/>
      <c r="O211" s="269"/>
      <c r="P211" s="269"/>
      <c r="Q211" s="269"/>
    </row>
    <row r="212" spans="1:17" ht="12.75" hidden="1" customHeight="1" x14ac:dyDescent="0.2">
      <c r="A212" s="269"/>
      <c r="B212" s="269"/>
      <c r="C212" s="269"/>
      <c r="D212" s="269"/>
      <c r="E212" s="282"/>
      <c r="F212" s="283"/>
      <c r="G212" s="283"/>
      <c r="H212" s="284"/>
      <c r="I212" s="284"/>
      <c r="J212" s="283"/>
      <c r="K212" s="283"/>
      <c r="L212" s="283"/>
      <c r="M212" s="283"/>
      <c r="N212" s="283"/>
      <c r="O212" s="269"/>
      <c r="P212" s="269"/>
      <c r="Q212" s="269"/>
    </row>
    <row r="213" spans="1:17" ht="12.75" hidden="1" customHeight="1" x14ac:dyDescent="0.2">
      <c r="A213" s="269"/>
      <c r="B213" s="269"/>
      <c r="C213" s="269"/>
      <c r="D213" s="269"/>
      <c r="E213" s="282"/>
      <c r="F213" s="283"/>
      <c r="G213" s="283"/>
      <c r="H213" s="284"/>
      <c r="I213" s="284"/>
      <c r="J213" s="283"/>
      <c r="K213" s="283"/>
      <c r="L213" s="283"/>
      <c r="M213" s="283"/>
      <c r="N213" s="283"/>
      <c r="O213" s="269"/>
      <c r="P213" s="269"/>
      <c r="Q213" s="269"/>
    </row>
    <row r="214" spans="1:17" ht="12.75" hidden="1" customHeight="1" x14ac:dyDescent="0.2">
      <c r="A214" s="269"/>
      <c r="B214" s="269"/>
      <c r="C214" s="269"/>
      <c r="D214" s="269"/>
      <c r="E214" s="282"/>
      <c r="F214" s="283"/>
      <c r="G214" s="283"/>
      <c r="H214" s="284"/>
      <c r="I214" s="284"/>
      <c r="J214" s="283"/>
      <c r="K214" s="283"/>
      <c r="L214" s="283"/>
      <c r="M214" s="283"/>
      <c r="N214" s="283"/>
      <c r="O214" s="269"/>
      <c r="P214" s="269"/>
      <c r="Q214" s="269"/>
    </row>
    <row r="215" spans="1:17" ht="12.75" hidden="1" customHeight="1" x14ac:dyDescent="0.2">
      <c r="A215" s="269"/>
      <c r="B215" s="269"/>
      <c r="C215" s="269"/>
      <c r="D215" s="269"/>
      <c r="E215" s="282"/>
      <c r="F215" s="283"/>
      <c r="G215" s="283"/>
      <c r="H215" s="284"/>
      <c r="I215" s="284"/>
      <c r="J215" s="283"/>
      <c r="K215" s="283"/>
      <c r="L215" s="283"/>
      <c r="M215" s="283"/>
      <c r="N215" s="283"/>
      <c r="O215" s="269"/>
      <c r="P215" s="269"/>
      <c r="Q215" s="269"/>
    </row>
    <row r="216" spans="1:17" ht="12.75" hidden="1" customHeight="1" x14ac:dyDescent="0.2">
      <c r="A216" s="269"/>
      <c r="B216" s="269"/>
      <c r="C216" s="269"/>
      <c r="D216" s="269"/>
      <c r="E216" s="282"/>
      <c r="F216" s="283"/>
      <c r="G216" s="283"/>
      <c r="H216" s="284"/>
      <c r="I216" s="284"/>
      <c r="J216" s="283"/>
      <c r="K216" s="283"/>
      <c r="L216" s="283"/>
      <c r="M216" s="283"/>
      <c r="N216" s="283"/>
      <c r="O216" s="269"/>
      <c r="P216" s="269"/>
      <c r="Q216" s="269"/>
    </row>
    <row r="217" spans="1:17" ht="12.75" hidden="1" customHeight="1" x14ac:dyDescent="0.2">
      <c r="A217" s="269"/>
      <c r="B217" s="269"/>
      <c r="C217" s="269"/>
      <c r="D217" s="269"/>
      <c r="E217" s="282"/>
      <c r="F217" s="283"/>
      <c r="G217" s="283"/>
      <c r="H217" s="284"/>
      <c r="I217" s="284"/>
      <c r="J217" s="283"/>
      <c r="K217" s="283"/>
      <c r="L217" s="283"/>
      <c r="M217" s="283"/>
      <c r="N217" s="283"/>
      <c r="O217" s="269"/>
      <c r="P217" s="269"/>
      <c r="Q217" s="269"/>
    </row>
    <row r="218" spans="1:17" ht="12.75" hidden="1" customHeight="1" x14ac:dyDescent="0.2">
      <c r="A218" s="269"/>
      <c r="B218" s="269"/>
      <c r="C218" s="269"/>
      <c r="D218" s="269"/>
      <c r="E218" s="282"/>
      <c r="F218" s="283"/>
      <c r="G218" s="283"/>
      <c r="H218" s="284"/>
      <c r="I218" s="284"/>
      <c r="J218" s="283"/>
      <c r="K218" s="283"/>
      <c r="L218" s="283"/>
      <c r="M218" s="283"/>
      <c r="N218" s="283"/>
      <c r="O218" s="269"/>
      <c r="P218" s="269"/>
      <c r="Q218" s="269"/>
    </row>
    <row r="219" spans="1:17" ht="12.75" hidden="1" customHeight="1" x14ac:dyDescent="0.2">
      <c r="A219" s="269"/>
      <c r="B219" s="269"/>
      <c r="C219" s="269"/>
      <c r="D219" s="269"/>
      <c r="E219" s="282"/>
      <c r="F219" s="283"/>
      <c r="G219" s="283"/>
      <c r="H219" s="284"/>
      <c r="I219" s="284"/>
      <c r="J219" s="283"/>
      <c r="K219" s="283"/>
      <c r="L219" s="283"/>
      <c r="M219" s="283"/>
      <c r="N219" s="283"/>
      <c r="O219" s="269"/>
      <c r="P219" s="269"/>
      <c r="Q219" s="269"/>
    </row>
    <row r="220" spans="1:17" ht="12.75" hidden="1" customHeight="1" x14ac:dyDescent="0.2">
      <c r="A220" s="269"/>
      <c r="B220" s="269"/>
      <c r="C220" s="269"/>
      <c r="D220" s="269"/>
      <c r="E220" s="282"/>
      <c r="F220" s="283"/>
      <c r="G220" s="283"/>
      <c r="H220" s="284"/>
      <c r="I220" s="284"/>
      <c r="J220" s="283"/>
      <c r="K220" s="283"/>
      <c r="L220" s="283"/>
      <c r="M220" s="283"/>
      <c r="N220" s="283"/>
      <c r="O220" s="269"/>
      <c r="P220" s="269"/>
      <c r="Q220" s="269"/>
    </row>
    <row r="221" spans="1:17" ht="12.75" hidden="1" customHeight="1" x14ac:dyDescent="0.2">
      <c r="A221" s="269"/>
      <c r="B221" s="269"/>
      <c r="C221" s="269"/>
      <c r="D221" s="269"/>
      <c r="E221" s="282"/>
      <c r="F221" s="283"/>
      <c r="G221" s="283"/>
      <c r="H221" s="284"/>
      <c r="I221" s="284"/>
      <c r="J221" s="283"/>
      <c r="K221" s="283"/>
      <c r="L221" s="283"/>
      <c r="M221" s="283"/>
      <c r="N221" s="283"/>
      <c r="O221" s="269"/>
      <c r="P221" s="269"/>
      <c r="Q221" s="269"/>
    </row>
    <row r="222" spans="1:17" ht="12.75" hidden="1" customHeight="1" x14ac:dyDescent="0.2">
      <c r="A222" s="269"/>
      <c r="B222" s="269"/>
      <c r="C222" s="269"/>
      <c r="D222" s="269"/>
      <c r="E222" s="282"/>
      <c r="F222" s="283"/>
      <c r="G222" s="283"/>
      <c r="H222" s="284"/>
      <c r="I222" s="284"/>
      <c r="J222" s="283"/>
      <c r="K222" s="283"/>
      <c r="L222" s="283"/>
      <c r="M222" s="283"/>
      <c r="N222" s="283"/>
      <c r="O222" s="269"/>
      <c r="P222" s="269"/>
      <c r="Q222" s="269"/>
    </row>
    <row r="223" spans="1:17" ht="12.75" hidden="1" customHeight="1" x14ac:dyDescent="0.2">
      <c r="A223" s="269"/>
      <c r="B223" s="269"/>
      <c r="C223" s="269"/>
      <c r="D223" s="269"/>
      <c r="E223" s="282"/>
      <c r="F223" s="283"/>
      <c r="G223" s="283"/>
      <c r="H223" s="284"/>
      <c r="I223" s="284"/>
      <c r="J223" s="283"/>
      <c r="K223" s="283"/>
      <c r="L223" s="283"/>
      <c r="M223" s="283"/>
      <c r="N223" s="283"/>
      <c r="O223" s="269"/>
      <c r="P223" s="269"/>
      <c r="Q223" s="269"/>
    </row>
    <row r="224" spans="1:17" ht="12.75" hidden="1" customHeight="1" x14ac:dyDescent="0.2">
      <c r="A224" s="269"/>
      <c r="B224" s="269"/>
      <c r="C224" s="269"/>
      <c r="D224" s="269"/>
      <c r="E224" s="282"/>
      <c r="F224" s="283"/>
      <c r="G224" s="283"/>
      <c r="H224" s="284"/>
      <c r="I224" s="284"/>
      <c r="J224" s="283"/>
      <c r="K224" s="283"/>
      <c r="L224" s="283"/>
      <c r="M224" s="283"/>
      <c r="N224" s="283"/>
      <c r="O224" s="269"/>
      <c r="P224" s="269"/>
      <c r="Q224" s="269"/>
    </row>
    <row r="225" spans="1:17" ht="12.75" hidden="1" customHeight="1" x14ac:dyDescent="0.2">
      <c r="A225" s="269"/>
      <c r="B225" s="269"/>
      <c r="C225" s="269"/>
      <c r="D225" s="269"/>
      <c r="E225" s="282"/>
      <c r="F225" s="283"/>
      <c r="G225" s="283"/>
      <c r="H225" s="284"/>
      <c r="I225" s="284"/>
      <c r="J225" s="283"/>
      <c r="K225" s="283"/>
      <c r="L225" s="283"/>
      <c r="M225" s="283"/>
      <c r="N225" s="283"/>
      <c r="O225" s="269"/>
      <c r="P225" s="269"/>
      <c r="Q225" s="269"/>
    </row>
    <row r="226" spans="1:17" ht="12.75" hidden="1" customHeight="1" x14ac:dyDescent="0.2">
      <c r="A226" s="269"/>
      <c r="B226" s="269"/>
      <c r="C226" s="269"/>
      <c r="D226" s="269"/>
      <c r="E226" s="282"/>
      <c r="F226" s="283"/>
      <c r="G226" s="283"/>
      <c r="H226" s="284"/>
      <c r="I226" s="284"/>
      <c r="J226" s="283"/>
      <c r="K226" s="283"/>
      <c r="L226" s="283"/>
      <c r="M226" s="283"/>
      <c r="N226" s="283"/>
      <c r="O226" s="269"/>
      <c r="P226" s="269"/>
      <c r="Q226" s="269"/>
    </row>
    <row r="227" spans="1:17" ht="12.75" hidden="1" customHeight="1" x14ac:dyDescent="0.2">
      <c r="A227" s="269"/>
      <c r="B227" s="269"/>
      <c r="C227" s="269"/>
      <c r="D227" s="269"/>
      <c r="E227" s="282"/>
      <c r="F227" s="283"/>
      <c r="G227" s="283"/>
      <c r="H227" s="284"/>
      <c r="I227" s="284"/>
      <c r="J227" s="283"/>
      <c r="K227" s="283"/>
      <c r="L227" s="283"/>
      <c r="M227" s="283"/>
      <c r="N227" s="283"/>
      <c r="O227" s="269"/>
      <c r="P227" s="269"/>
      <c r="Q227" s="269"/>
    </row>
    <row r="228" spans="1:17" ht="12.75" hidden="1" customHeight="1" x14ac:dyDescent="0.2">
      <c r="A228" s="269"/>
      <c r="B228" s="269"/>
      <c r="C228" s="269"/>
      <c r="D228" s="269"/>
      <c r="E228" s="282"/>
      <c r="F228" s="283"/>
      <c r="G228" s="283"/>
      <c r="H228" s="284"/>
      <c r="I228" s="284"/>
      <c r="J228" s="283"/>
      <c r="K228" s="283"/>
      <c r="L228" s="283"/>
      <c r="M228" s="283"/>
      <c r="N228" s="283"/>
      <c r="O228" s="269"/>
      <c r="P228" s="269"/>
      <c r="Q228" s="269"/>
    </row>
    <row r="229" spans="1:17" ht="12.75" hidden="1" customHeight="1" x14ac:dyDescent="0.2">
      <c r="A229" s="269"/>
      <c r="B229" s="269"/>
      <c r="C229" s="269"/>
      <c r="D229" s="269"/>
      <c r="E229" s="282"/>
      <c r="F229" s="283"/>
      <c r="G229" s="283"/>
      <c r="H229" s="284"/>
      <c r="I229" s="284"/>
      <c r="J229" s="283"/>
      <c r="K229" s="283"/>
      <c r="L229" s="283"/>
      <c r="M229" s="283"/>
      <c r="N229" s="283"/>
      <c r="O229" s="269"/>
      <c r="P229" s="269"/>
      <c r="Q229" s="269"/>
    </row>
    <row r="230" spans="1:17" ht="12.75" hidden="1" customHeight="1" x14ac:dyDescent="0.2">
      <c r="A230" s="269"/>
      <c r="B230" s="269"/>
      <c r="C230" s="269"/>
      <c r="D230" s="269"/>
      <c r="E230" s="282"/>
      <c r="F230" s="283"/>
      <c r="G230" s="283"/>
      <c r="H230" s="284"/>
      <c r="I230" s="284"/>
      <c r="J230" s="283"/>
      <c r="K230" s="283"/>
      <c r="L230" s="283"/>
      <c r="M230" s="283"/>
      <c r="N230" s="283"/>
      <c r="O230" s="269"/>
      <c r="P230" s="269"/>
      <c r="Q230" s="269"/>
    </row>
    <row r="231" spans="1:17" ht="12.75" hidden="1" customHeight="1" x14ac:dyDescent="0.2">
      <c r="A231" s="269"/>
      <c r="B231" s="269"/>
      <c r="C231" s="269"/>
      <c r="D231" s="269"/>
      <c r="E231" s="282"/>
      <c r="F231" s="283"/>
      <c r="G231" s="283"/>
      <c r="H231" s="284"/>
      <c r="I231" s="284"/>
      <c r="J231" s="283"/>
      <c r="K231" s="283"/>
      <c r="L231" s="283"/>
      <c r="M231" s="283"/>
      <c r="N231" s="283"/>
      <c r="O231" s="269"/>
      <c r="P231" s="269"/>
      <c r="Q231" s="269"/>
    </row>
    <row r="232" spans="1:17" ht="12.75" hidden="1" customHeight="1" x14ac:dyDescent="0.2">
      <c r="A232" s="269"/>
      <c r="B232" s="269"/>
      <c r="C232" s="269"/>
      <c r="D232" s="269"/>
      <c r="E232" s="282"/>
      <c r="F232" s="283"/>
      <c r="G232" s="283"/>
      <c r="H232" s="284"/>
      <c r="I232" s="284"/>
      <c r="J232" s="283"/>
      <c r="K232" s="283"/>
      <c r="L232" s="283"/>
      <c r="M232" s="283"/>
      <c r="N232" s="283"/>
      <c r="O232" s="269"/>
      <c r="P232" s="269"/>
      <c r="Q232" s="269"/>
    </row>
    <row r="233" spans="1:17" ht="12.75" hidden="1" customHeight="1" x14ac:dyDescent="0.2">
      <c r="A233" s="269"/>
      <c r="B233" s="269"/>
      <c r="C233" s="269"/>
      <c r="D233" s="269"/>
      <c r="E233" s="282"/>
      <c r="F233" s="283"/>
      <c r="G233" s="283"/>
      <c r="H233" s="284"/>
      <c r="I233" s="284"/>
      <c r="J233" s="283"/>
      <c r="K233" s="283"/>
      <c r="L233" s="283"/>
      <c r="M233" s="283"/>
      <c r="N233" s="283"/>
      <c r="O233" s="269"/>
      <c r="P233" s="269"/>
      <c r="Q233" s="269"/>
    </row>
    <row r="234" spans="1:17" ht="12.75" hidden="1" customHeight="1" x14ac:dyDescent="0.2">
      <c r="A234" s="269"/>
      <c r="B234" s="269"/>
      <c r="C234" s="269"/>
      <c r="D234" s="269"/>
      <c r="E234" s="282"/>
      <c r="F234" s="283"/>
      <c r="G234" s="283"/>
      <c r="H234" s="284"/>
      <c r="I234" s="284"/>
      <c r="J234" s="283"/>
      <c r="K234" s="283"/>
      <c r="L234" s="283"/>
      <c r="M234" s="283"/>
      <c r="N234" s="283"/>
      <c r="O234" s="269"/>
      <c r="P234" s="269"/>
      <c r="Q234" s="269"/>
    </row>
    <row r="235" spans="1:17" ht="12.75" hidden="1" customHeight="1" x14ac:dyDescent="0.2">
      <c r="A235" s="269"/>
      <c r="B235" s="269"/>
      <c r="C235" s="269"/>
      <c r="D235" s="269"/>
      <c r="E235" s="282"/>
      <c r="F235" s="283"/>
      <c r="G235" s="283"/>
      <c r="H235" s="284"/>
      <c r="I235" s="284"/>
      <c r="J235" s="283"/>
      <c r="K235" s="283"/>
      <c r="L235" s="283"/>
      <c r="M235" s="283"/>
      <c r="N235" s="283"/>
      <c r="O235" s="269"/>
      <c r="P235" s="269"/>
      <c r="Q235" s="269"/>
    </row>
    <row r="236" spans="1:17" ht="12.75" hidden="1" customHeight="1" x14ac:dyDescent="0.2">
      <c r="A236" s="269"/>
      <c r="B236" s="269"/>
      <c r="C236" s="269"/>
      <c r="D236" s="269"/>
      <c r="E236" s="282"/>
      <c r="F236" s="283"/>
      <c r="G236" s="283"/>
      <c r="H236" s="284"/>
      <c r="I236" s="284"/>
      <c r="J236" s="283"/>
      <c r="K236" s="283"/>
      <c r="L236" s="283"/>
      <c r="M236" s="283"/>
      <c r="N236" s="283"/>
      <c r="O236" s="269"/>
      <c r="P236" s="269"/>
      <c r="Q236" s="269"/>
    </row>
    <row r="237" spans="1:17" ht="12.75" hidden="1" customHeight="1" x14ac:dyDescent="0.2">
      <c r="A237" s="269"/>
      <c r="B237" s="269"/>
      <c r="C237" s="269"/>
      <c r="D237" s="269"/>
      <c r="E237" s="282"/>
      <c r="F237" s="283"/>
      <c r="G237" s="283"/>
      <c r="H237" s="284"/>
      <c r="I237" s="284"/>
      <c r="J237" s="283"/>
      <c r="K237" s="283"/>
      <c r="L237" s="283"/>
      <c r="M237" s="283"/>
      <c r="N237" s="283"/>
      <c r="O237" s="269"/>
      <c r="P237" s="269"/>
      <c r="Q237" s="269"/>
    </row>
    <row r="238" spans="1:17" ht="12.75" hidden="1" customHeight="1" x14ac:dyDescent="0.2">
      <c r="A238" s="269"/>
      <c r="B238" s="269"/>
      <c r="C238" s="269"/>
      <c r="D238" s="269"/>
      <c r="E238" s="282"/>
      <c r="F238" s="283"/>
      <c r="G238" s="283"/>
      <c r="H238" s="284"/>
      <c r="I238" s="284"/>
      <c r="J238" s="283"/>
      <c r="K238" s="283"/>
      <c r="L238" s="283"/>
      <c r="M238" s="283"/>
      <c r="N238" s="283"/>
      <c r="O238" s="269"/>
      <c r="P238" s="269"/>
      <c r="Q238" s="269"/>
    </row>
    <row r="239" spans="1:17" ht="12.75" hidden="1" customHeight="1" x14ac:dyDescent="0.2">
      <c r="A239" s="269"/>
      <c r="B239" s="269"/>
      <c r="C239" s="269"/>
      <c r="D239" s="269"/>
      <c r="E239" s="282"/>
      <c r="F239" s="283"/>
      <c r="G239" s="283"/>
      <c r="H239" s="284"/>
      <c r="I239" s="284"/>
      <c r="J239" s="283"/>
      <c r="K239" s="283"/>
      <c r="L239" s="283"/>
      <c r="M239" s="283"/>
      <c r="N239" s="283"/>
      <c r="O239" s="269"/>
      <c r="P239" s="269"/>
      <c r="Q239" s="269"/>
    </row>
    <row r="240" spans="1:17" ht="12.75" hidden="1" customHeight="1" x14ac:dyDescent="0.2">
      <c r="A240" s="269"/>
      <c r="B240" s="269"/>
      <c r="C240" s="269"/>
      <c r="D240" s="269"/>
      <c r="E240" s="282"/>
      <c r="F240" s="283"/>
      <c r="G240" s="283"/>
      <c r="H240" s="284"/>
      <c r="I240" s="284"/>
      <c r="J240" s="283"/>
      <c r="K240" s="283"/>
      <c r="L240" s="283"/>
      <c r="M240" s="283"/>
      <c r="N240" s="283"/>
      <c r="O240" s="269"/>
      <c r="P240" s="269"/>
      <c r="Q240" s="269"/>
    </row>
    <row r="241" spans="1:17" ht="12.75" hidden="1" customHeight="1" x14ac:dyDescent="0.2">
      <c r="A241" s="269"/>
      <c r="B241" s="269"/>
      <c r="C241" s="269"/>
      <c r="D241" s="269"/>
      <c r="E241" s="282"/>
      <c r="F241" s="283"/>
      <c r="G241" s="283"/>
      <c r="H241" s="284"/>
      <c r="I241" s="284"/>
      <c r="J241" s="283"/>
      <c r="K241" s="283"/>
      <c r="L241" s="283"/>
      <c r="M241" s="283"/>
      <c r="N241" s="283"/>
      <c r="O241" s="269"/>
      <c r="P241" s="269"/>
      <c r="Q241" s="269"/>
    </row>
    <row r="242" spans="1:17" ht="12.75" hidden="1" customHeight="1" x14ac:dyDescent="0.2">
      <c r="A242" s="269"/>
      <c r="B242" s="269"/>
      <c r="C242" s="269"/>
      <c r="D242" s="269"/>
      <c r="E242" s="282"/>
      <c r="F242" s="283"/>
      <c r="G242" s="283"/>
      <c r="H242" s="284"/>
      <c r="I242" s="284"/>
      <c r="J242" s="283"/>
      <c r="K242" s="283"/>
      <c r="L242" s="283"/>
      <c r="M242" s="283"/>
      <c r="N242" s="283"/>
      <c r="O242" s="269"/>
      <c r="P242" s="269"/>
      <c r="Q242" s="269"/>
    </row>
    <row r="243" spans="1:17" ht="12.75" hidden="1" customHeight="1" x14ac:dyDescent="0.2">
      <c r="A243" s="269"/>
      <c r="B243" s="269"/>
      <c r="C243" s="269"/>
      <c r="D243" s="269"/>
      <c r="E243" s="282"/>
      <c r="F243" s="283"/>
      <c r="G243" s="283"/>
      <c r="H243" s="284"/>
      <c r="I243" s="284"/>
      <c r="J243" s="283"/>
      <c r="K243" s="283"/>
      <c r="L243" s="283"/>
      <c r="M243" s="283"/>
      <c r="N243" s="283"/>
      <c r="O243" s="269"/>
      <c r="P243" s="269"/>
      <c r="Q243" s="269"/>
    </row>
    <row r="244" spans="1:17" ht="12.75" hidden="1" customHeight="1" x14ac:dyDescent="0.2">
      <c r="A244" s="269"/>
      <c r="B244" s="269"/>
      <c r="C244" s="269"/>
      <c r="D244" s="269"/>
      <c r="E244" s="282"/>
      <c r="F244" s="283"/>
      <c r="G244" s="283"/>
      <c r="H244" s="284"/>
      <c r="I244" s="284"/>
      <c r="J244" s="283"/>
      <c r="K244" s="283"/>
      <c r="L244" s="283"/>
      <c r="M244" s="283"/>
      <c r="N244" s="283"/>
      <c r="O244" s="269"/>
      <c r="P244" s="269"/>
      <c r="Q244" s="269"/>
    </row>
    <row r="245" spans="1:17" ht="12.75" hidden="1" customHeight="1" x14ac:dyDescent="0.2">
      <c r="A245" s="269"/>
      <c r="B245" s="269"/>
      <c r="C245" s="269"/>
      <c r="D245" s="269"/>
      <c r="E245" s="282"/>
      <c r="F245" s="283"/>
      <c r="G245" s="283"/>
      <c r="H245" s="284"/>
      <c r="I245" s="284"/>
      <c r="J245" s="283"/>
      <c r="K245" s="283"/>
      <c r="L245" s="283"/>
      <c r="M245" s="283"/>
      <c r="N245" s="283"/>
      <c r="O245" s="269"/>
      <c r="P245" s="269"/>
      <c r="Q245" s="269"/>
    </row>
    <row r="246" spans="1:17" ht="12.75" hidden="1" customHeight="1" x14ac:dyDescent="0.2">
      <c r="A246" s="269"/>
      <c r="B246" s="269"/>
      <c r="C246" s="269"/>
      <c r="D246" s="269"/>
      <c r="E246" s="282"/>
      <c r="F246" s="283"/>
      <c r="G246" s="283"/>
      <c r="H246" s="284"/>
      <c r="I246" s="284"/>
      <c r="J246" s="283"/>
      <c r="K246" s="283"/>
      <c r="L246" s="283"/>
      <c r="M246" s="283"/>
      <c r="N246" s="283"/>
      <c r="O246" s="269"/>
      <c r="P246" s="269"/>
      <c r="Q246" s="269"/>
    </row>
    <row r="247" spans="1:17" ht="12.75" hidden="1" customHeight="1" x14ac:dyDescent="0.2">
      <c r="A247" s="269"/>
      <c r="B247" s="269"/>
      <c r="C247" s="269"/>
      <c r="D247" s="269"/>
      <c r="E247" s="282"/>
      <c r="F247" s="283"/>
      <c r="G247" s="283"/>
      <c r="H247" s="284"/>
      <c r="I247" s="284"/>
      <c r="J247" s="283"/>
      <c r="K247" s="283"/>
      <c r="L247" s="283"/>
      <c r="M247" s="283"/>
      <c r="N247" s="283"/>
      <c r="O247" s="269"/>
      <c r="P247" s="269"/>
      <c r="Q247" s="269"/>
    </row>
    <row r="248" spans="1:17" ht="12.75" hidden="1" customHeight="1" x14ac:dyDescent="0.2">
      <c r="A248" s="269"/>
      <c r="B248" s="269"/>
      <c r="C248" s="269"/>
      <c r="D248" s="269"/>
      <c r="E248" s="282"/>
      <c r="F248" s="283"/>
      <c r="G248" s="283"/>
      <c r="H248" s="284"/>
      <c r="I248" s="284"/>
      <c r="J248" s="283"/>
      <c r="K248" s="283"/>
      <c r="L248" s="283"/>
      <c r="M248" s="283"/>
      <c r="N248" s="283"/>
      <c r="O248" s="269"/>
      <c r="P248" s="269"/>
      <c r="Q248" s="269"/>
    </row>
    <row r="249" spans="1:17" ht="12.75" hidden="1" customHeight="1" x14ac:dyDescent="0.2">
      <c r="A249" s="269"/>
      <c r="B249" s="269"/>
      <c r="C249" s="269"/>
      <c r="D249" s="269"/>
      <c r="E249" s="282"/>
      <c r="F249" s="283"/>
      <c r="G249" s="283"/>
      <c r="H249" s="284"/>
      <c r="I249" s="284"/>
      <c r="J249" s="283"/>
      <c r="K249" s="283"/>
      <c r="L249" s="283"/>
      <c r="M249" s="283"/>
      <c r="N249" s="283"/>
      <c r="O249" s="269"/>
      <c r="P249" s="269"/>
      <c r="Q249" s="269"/>
    </row>
    <row r="250" spans="1:17" ht="12.75" hidden="1" customHeight="1" x14ac:dyDescent="0.2">
      <c r="A250" s="269"/>
      <c r="B250" s="269"/>
      <c r="C250" s="269"/>
      <c r="D250" s="269"/>
      <c r="E250" s="282"/>
      <c r="F250" s="283"/>
      <c r="G250" s="283"/>
      <c r="H250" s="284"/>
      <c r="I250" s="284"/>
      <c r="J250" s="283"/>
      <c r="K250" s="283"/>
      <c r="L250" s="283"/>
      <c r="M250" s="283"/>
      <c r="N250" s="283"/>
      <c r="O250" s="269"/>
      <c r="P250" s="269"/>
      <c r="Q250" s="269"/>
    </row>
    <row r="251" spans="1:17" ht="12.75" hidden="1" customHeight="1" x14ac:dyDescent="0.2">
      <c r="A251" s="269"/>
      <c r="B251" s="269"/>
      <c r="C251" s="269"/>
      <c r="D251" s="269"/>
      <c r="E251" s="282"/>
      <c r="F251" s="283"/>
      <c r="G251" s="283"/>
      <c r="H251" s="284"/>
      <c r="I251" s="284"/>
      <c r="J251" s="283"/>
      <c r="K251" s="283"/>
      <c r="L251" s="283"/>
      <c r="M251" s="283"/>
      <c r="N251" s="283"/>
      <c r="O251" s="269"/>
      <c r="P251" s="269"/>
      <c r="Q251" s="269"/>
    </row>
    <row r="252" spans="1:17" ht="12.75" hidden="1" customHeight="1" x14ac:dyDescent="0.2">
      <c r="A252" s="269"/>
      <c r="B252" s="269"/>
      <c r="C252" s="269"/>
      <c r="D252" s="269"/>
      <c r="E252" s="282"/>
      <c r="F252" s="283"/>
      <c r="G252" s="283"/>
      <c r="H252" s="284"/>
      <c r="I252" s="284"/>
      <c r="J252" s="283"/>
      <c r="K252" s="283"/>
      <c r="L252" s="283"/>
      <c r="M252" s="283"/>
      <c r="N252" s="283"/>
      <c r="O252" s="269"/>
      <c r="P252" s="269"/>
      <c r="Q252" s="269"/>
    </row>
    <row r="253" spans="1:17" ht="12.75" hidden="1" customHeight="1" x14ac:dyDescent="0.2">
      <c r="A253" s="269"/>
      <c r="B253" s="269"/>
      <c r="C253" s="269"/>
      <c r="D253" s="269"/>
      <c r="E253" s="282"/>
      <c r="F253" s="283"/>
      <c r="G253" s="283"/>
      <c r="H253" s="284"/>
      <c r="I253" s="284"/>
      <c r="J253" s="283"/>
      <c r="K253" s="283"/>
      <c r="L253" s="283"/>
      <c r="M253" s="283"/>
      <c r="N253" s="283"/>
      <c r="O253" s="269"/>
      <c r="P253" s="269"/>
      <c r="Q253" s="269"/>
    </row>
    <row r="254" spans="1:17" ht="12.75" hidden="1" customHeight="1" x14ac:dyDescent="0.2">
      <c r="A254" s="269"/>
      <c r="B254" s="269"/>
      <c r="C254" s="269"/>
      <c r="D254" s="269"/>
      <c r="E254" s="282"/>
      <c r="F254" s="283"/>
      <c r="G254" s="283"/>
      <c r="H254" s="284"/>
      <c r="I254" s="284"/>
      <c r="J254" s="283"/>
      <c r="K254" s="283"/>
      <c r="L254" s="283"/>
      <c r="M254" s="283"/>
      <c r="N254" s="283"/>
      <c r="O254" s="269"/>
      <c r="P254" s="269"/>
      <c r="Q254" s="269"/>
    </row>
    <row r="255" spans="1:17" ht="12.75" hidden="1" customHeight="1" x14ac:dyDescent="0.2">
      <c r="A255" s="269"/>
      <c r="B255" s="269"/>
      <c r="C255" s="269"/>
      <c r="D255" s="269"/>
      <c r="E255" s="282"/>
      <c r="F255" s="283"/>
      <c r="G255" s="283"/>
      <c r="H255" s="284"/>
      <c r="I255" s="284"/>
      <c r="J255" s="283"/>
      <c r="K255" s="283"/>
      <c r="L255" s="283"/>
      <c r="M255" s="283"/>
      <c r="N255" s="283"/>
      <c r="O255" s="269"/>
      <c r="P255" s="269"/>
      <c r="Q255" s="269"/>
    </row>
    <row r="256" spans="1:17" ht="12.75" hidden="1" customHeight="1" x14ac:dyDescent="0.2">
      <c r="A256" s="269"/>
      <c r="B256" s="269"/>
      <c r="C256" s="269"/>
      <c r="D256" s="269"/>
      <c r="E256" s="282"/>
      <c r="F256" s="283"/>
      <c r="G256" s="283"/>
      <c r="H256" s="284"/>
      <c r="I256" s="284"/>
      <c r="J256" s="283"/>
      <c r="K256" s="283"/>
      <c r="L256" s="283"/>
      <c r="M256" s="283"/>
      <c r="N256" s="283"/>
      <c r="O256" s="269"/>
      <c r="P256" s="269"/>
      <c r="Q256" s="269"/>
    </row>
    <row r="257" spans="1:17" ht="12.75" hidden="1" customHeight="1" x14ac:dyDescent="0.2">
      <c r="A257" s="269"/>
      <c r="B257" s="269"/>
      <c r="C257" s="269"/>
      <c r="D257" s="269"/>
      <c r="E257" s="282"/>
      <c r="F257" s="283"/>
      <c r="G257" s="283"/>
      <c r="H257" s="284"/>
      <c r="I257" s="284"/>
      <c r="J257" s="283"/>
      <c r="K257" s="283"/>
      <c r="L257" s="283"/>
      <c r="M257" s="283"/>
      <c r="N257" s="283"/>
      <c r="O257" s="269"/>
      <c r="P257" s="269"/>
      <c r="Q257" s="269"/>
    </row>
    <row r="258" spans="1:17" ht="12.75" hidden="1" customHeight="1" x14ac:dyDescent="0.2">
      <c r="A258" s="269"/>
      <c r="B258" s="269"/>
      <c r="C258" s="269"/>
      <c r="D258" s="269"/>
      <c r="E258" s="282"/>
      <c r="F258" s="283"/>
      <c r="G258" s="283"/>
      <c r="H258" s="284"/>
      <c r="I258" s="284"/>
      <c r="J258" s="283"/>
      <c r="K258" s="283"/>
      <c r="L258" s="283"/>
      <c r="M258" s="283"/>
      <c r="N258" s="283"/>
      <c r="O258" s="269"/>
      <c r="P258" s="269"/>
      <c r="Q258" s="269"/>
    </row>
    <row r="259" spans="1:17" ht="12.75" hidden="1" customHeight="1" x14ac:dyDescent="0.2">
      <c r="A259" s="269"/>
      <c r="B259" s="269"/>
      <c r="C259" s="269"/>
      <c r="D259" s="269"/>
      <c r="E259" s="282"/>
      <c r="F259" s="283"/>
      <c r="G259" s="283"/>
      <c r="H259" s="284"/>
      <c r="I259" s="284"/>
      <c r="J259" s="283"/>
      <c r="K259" s="283"/>
      <c r="L259" s="283"/>
      <c r="M259" s="283"/>
      <c r="N259" s="283"/>
      <c r="O259" s="269"/>
      <c r="P259" s="269"/>
      <c r="Q259" s="269"/>
    </row>
    <row r="260" spans="1:17" ht="12.75" hidden="1" customHeight="1" x14ac:dyDescent="0.2">
      <c r="A260" s="269"/>
      <c r="B260" s="269"/>
      <c r="C260" s="269"/>
      <c r="D260" s="269"/>
      <c r="E260" s="282"/>
      <c r="F260" s="283"/>
      <c r="G260" s="283"/>
      <c r="H260" s="284"/>
      <c r="I260" s="284"/>
      <c r="J260" s="283"/>
      <c r="K260" s="283"/>
      <c r="L260" s="283"/>
      <c r="M260" s="283"/>
      <c r="N260" s="283"/>
      <c r="O260" s="269"/>
      <c r="P260" s="269"/>
      <c r="Q260" s="269"/>
    </row>
    <row r="261" spans="1:17" ht="12.75" hidden="1" customHeight="1" x14ac:dyDescent="0.2">
      <c r="A261" s="269"/>
      <c r="B261" s="269"/>
      <c r="C261" s="269"/>
      <c r="D261" s="269"/>
      <c r="E261" s="282"/>
      <c r="F261" s="283"/>
      <c r="G261" s="283"/>
      <c r="H261" s="284"/>
      <c r="I261" s="284"/>
      <c r="J261" s="283"/>
      <c r="K261" s="283"/>
      <c r="L261" s="283"/>
      <c r="M261" s="283"/>
      <c r="N261" s="283"/>
      <c r="O261" s="269"/>
      <c r="P261" s="269"/>
      <c r="Q261" s="269"/>
    </row>
    <row r="262" spans="1:17" ht="12.75" hidden="1" customHeight="1" x14ac:dyDescent="0.2">
      <c r="A262" s="269"/>
      <c r="B262" s="269"/>
      <c r="C262" s="269"/>
      <c r="D262" s="269"/>
      <c r="E262" s="282"/>
      <c r="F262" s="283"/>
      <c r="G262" s="283"/>
      <c r="H262" s="284"/>
      <c r="I262" s="284"/>
      <c r="J262" s="283"/>
      <c r="K262" s="283"/>
      <c r="L262" s="283"/>
      <c r="M262" s="283"/>
      <c r="N262" s="283"/>
      <c r="O262" s="269"/>
      <c r="P262" s="269"/>
      <c r="Q262" s="269"/>
    </row>
    <row r="263" spans="1:17" ht="12.75" hidden="1" customHeight="1" x14ac:dyDescent="0.2">
      <c r="A263" s="269"/>
      <c r="B263" s="269"/>
      <c r="C263" s="269"/>
      <c r="D263" s="269"/>
      <c r="E263" s="282"/>
      <c r="F263" s="283"/>
      <c r="G263" s="283"/>
      <c r="H263" s="284"/>
      <c r="I263" s="284"/>
      <c r="J263" s="283"/>
      <c r="K263" s="283"/>
      <c r="L263" s="283"/>
      <c r="M263" s="283"/>
      <c r="N263" s="283"/>
      <c r="O263" s="269"/>
      <c r="P263" s="269"/>
      <c r="Q263" s="269"/>
    </row>
    <row r="264" spans="1:17" ht="12.75" hidden="1" customHeight="1" x14ac:dyDescent="0.2">
      <c r="A264" s="269"/>
      <c r="B264" s="269"/>
      <c r="C264" s="269"/>
      <c r="D264" s="269"/>
      <c r="E264" s="282"/>
      <c r="F264" s="283"/>
      <c r="G264" s="283"/>
      <c r="H264" s="284"/>
      <c r="I264" s="284"/>
      <c r="J264" s="283"/>
      <c r="K264" s="283"/>
      <c r="L264" s="283"/>
      <c r="M264" s="283"/>
      <c r="N264" s="283"/>
      <c r="O264" s="269"/>
      <c r="P264" s="269"/>
      <c r="Q264" s="269"/>
    </row>
    <row r="265" spans="1:17" ht="12.75" hidden="1" customHeight="1" x14ac:dyDescent="0.2">
      <c r="A265" s="269"/>
      <c r="B265" s="269"/>
      <c r="C265" s="269"/>
      <c r="D265" s="269"/>
      <c r="E265" s="282"/>
      <c r="F265" s="283"/>
      <c r="G265" s="283"/>
      <c r="H265" s="284"/>
      <c r="I265" s="284"/>
      <c r="J265" s="283"/>
      <c r="K265" s="283"/>
      <c r="L265" s="283"/>
      <c r="M265" s="283"/>
      <c r="N265" s="283"/>
      <c r="O265" s="269"/>
      <c r="P265" s="269"/>
      <c r="Q265" s="269"/>
    </row>
    <row r="266" spans="1:17" ht="12.75" hidden="1" customHeight="1" x14ac:dyDescent="0.2">
      <c r="A266" s="269"/>
      <c r="B266" s="269"/>
      <c r="C266" s="269"/>
      <c r="D266" s="269"/>
      <c r="E266" s="282"/>
      <c r="F266" s="283"/>
      <c r="G266" s="283"/>
      <c r="H266" s="284"/>
      <c r="I266" s="284"/>
      <c r="J266" s="283"/>
      <c r="K266" s="283"/>
      <c r="L266" s="283"/>
      <c r="M266" s="283"/>
      <c r="N266" s="283"/>
      <c r="O266" s="269"/>
      <c r="P266" s="269"/>
      <c r="Q266" s="269"/>
    </row>
    <row r="267" spans="1:17" ht="12.75" hidden="1" customHeight="1" x14ac:dyDescent="0.2">
      <c r="A267" s="269"/>
      <c r="B267" s="269"/>
      <c r="C267" s="269"/>
      <c r="D267" s="269"/>
      <c r="E267" s="282"/>
      <c r="F267" s="283"/>
      <c r="G267" s="283"/>
      <c r="H267" s="284"/>
      <c r="I267" s="284"/>
      <c r="J267" s="283"/>
      <c r="K267" s="283"/>
      <c r="L267" s="283"/>
      <c r="M267" s="283"/>
      <c r="N267" s="283"/>
      <c r="O267" s="269"/>
      <c r="P267" s="269"/>
      <c r="Q267" s="269"/>
    </row>
    <row r="268" spans="1:17" ht="12.75" hidden="1" customHeight="1" x14ac:dyDescent="0.2">
      <c r="A268" s="269"/>
      <c r="B268" s="269"/>
      <c r="C268" s="269"/>
      <c r="D268" s="269"/>
      <c r="E268" s="282"/>
      <c r="F268" s="283"/>
      <c r="G268" s="283"/>
      <c r="H268" s="284"/>
      <c r="I268" s="284"/>
      <c r="J268" s="283"/>
      <c r="K268" s="283"/>
      <c r="L268" s="283"/>
      <c r="M268" s="283"/>
      <c r="N268" s="283"/>
      <c r="O268" s="269"/>
      <c r="P268" s="269"/>
      <c r="Q268" s="269"/>
    </row>
    <row r="269" spans="1:17" ht="12.75" hidden="1" customHeight="1" x14ac:dyDescent="0.2">
      <c r="A269" s="269"/>
      <c r="B269" s="269"/>
      <c r="C269" s="269"/>
      <c r="D269" s="269"/>
      <c r="E269" s="282"/>
      <c r="F269" s="283"/>
      <c r="G269" s="283"/>
      <c r="H269" s="284"/>
      <c r="I269" s="284"/>
      <c r="J269" s="283"/>
      <c r="K269" s="283"/>
      <c r="L269" s="283"/>
      <c r="M269" s="283"/>
      <c r="N269" s="283"/>
      <c r="O269" s="269"/>
      <c r="P269" s="269"/>
      <c r="Q269" s="269"/>
    </row>
    <row r="270" spans="1:17" ht="12.75" hidden="1" customHeight="1" x14ac:dyDescent="0.2">
      <c r="A270" s="269"/>
      <c r="B270" s="269"/>
      <c r="C270" s="269"/>
      <c r="D270" s="269"/>
      <c r="E270" s="282"/>
      <c r="F270" s="283"/>
      <c r="G270" s="283"/>
      <c r="H270" s="284"/>
      <c r="I270" s="284"/>
      <c r="J270" s="283"/>
      <c r="K270" s="283"/>
      <c r="L270" s="283"/>
      <c r="M270" s="283"/>
      <c r="N270" s="283"/>
      <c r="O270" s="269"/>
      <c r="P270" s="269"/>
      <c r="Q270" s="269"/>
    </row>
    <row r="271" spans="1:17" ht="12.75" hidden="1" customHeight="1" x14ac:dyDescent="0.2">
      <c r="A271" s="269"/>
      <c r="B271" s="269"/>
      <c r="C271" s="269"/>
      <c r="D271" s="269"/>
      <c r="E271" s="282"/>
      <c r="F271" s="283"/>
      <c r="G271" s="283"/>
      <c r="H271" s="284"/>
      <c r="I271" s="284"/>
      <c r="J271" s="283"/>
      <c r="K271" s="283"/>
      <c r="L271" s="283"/>
      <c r="M271" s="283"/>
      <c r="N271" s="283"/>
      <c r="O271" s="269"/>
      <c r="P271" s="269"/>
      <c r="Q271" s="269"/>
    </row>
    <row r="272" spans="1:17" ht="12.75" hidden="1" customHeight="1" x14ac:dyDescent="0.2">
      <c r="A272" s="269"/>
      <c r="B272" s="269"/>
      <c r="C272" s="269"/>
      <c r="D272" s="269"/>
      <c r="E272" s="282"/>
      <c r="F272" s="283"/>
      <c r="G272" s="283"/>
      <c r="H272" s="284"/>
      <c r="I272" s="284"/>
      <c r="J272" s="283"/>
      <c r="K272" s="283"/>
      <c r="L272" s="283"/>
      <c r="M272" s="283"/>
      <c r="N272" s="283"/>
      <c r="O272" s="269"/>
      <c r="P272" s="269"/>
      <c r="Q272" s="269"/>
    </row>
    <row r="273" spans="1:17" ht="12.75" hidden="1" customHeight="1" x14ac:dyDescent="0.2">
      <c r="A273" s="269"/>
      <c r="B273" s="269"/>
      <c r="C273" s="269"/>
      <c r="D273" s="269"/>
      <c r="E273" s="282"/>
      <c r="F273" s="283"/>
      <c r="G273" s="283"/>
      <c r="H273" s="284"/>
      <c r="I273" s="284"/>
      <c r="J273" s="283"/>
      <c r="K273" s="283"/>
      <c r="L273" s="283"/>
      <c r="M273" s="283"/>
      <c r="N273" s="283"/>
      <c r="O273" s="269"/>
      <c r="P273" s="269"/>
      <c r="Q273" s="269"/>
    </row>
    <row r="274" spans="1:17" ht="12.75" hidden="1" customHeight="1" x14ac:dyDescent="0.2">
      <c r="A274" s="269"/>
      <c r="B274" s="269"/>
      <c r="C274" s="269"/>
      <c r="D274" s="269"/>
      <c r="E274" s="282"/>
      <c r="F274" s="283"/>
      <c r="G274" s="283"/>
      <c r="H274" s="284"/>
      <c r="I274" s="284"/>
      <c r="J274" s="283"/>
      <c r="K274" s="283"/>
      <c r="L274" s="283"/>
      <c r="M274" s="283"/>
      <c r="N274" s="283"/>
      <c r="O274" s="269"/>
      <c r="P274" s="269"/>
      <c r="Q274" s="269"/>
    </row>
    <row r="275" spans="1:17" ht="12.75" hidden="1" customHeight="1" x14ac:dyDescent="0.2">
      <c r="A275" s="269"/>
      <c r="B275" s="269"/>
      <c r="C275" s="269"/>
      <c r="D275" s="269"/>
      <c r="E275" s="282"/>
      <c r="F275" s="283"/>
      <c r="G275" s="283"/>
      <c r="H275" s="284"/>
      <c r="I275" s="284"/>
      <c r="J275" s="283"/>
      <c r="K275" s="283"/>
      <c r="L275" s="283"/>
      <c r="M275" s="283"/>
      <c r="N275" s="283"/>
      <c r="O275" s="269"/>
      <c r="P275" s="269"/>
      <c r="Q275" s="269"/>
    </row>
    <row r="276" spans="1:17" ht="12.75" hidden="1" customHeight="1" x14ac:dyDescent="0.2">
      <c r="A276" s="269"/>
      <c r="B276" s="269"/>
      <c r="C276" s="269"/>
      <c r="D276" s="269"/>
      <c r="E276" s="282"/>
      <c r="F276" s="283"/>
      <c r="G276" s="283"/>
      <c r="H276" s="284"/>
      <c r="I276" s="284"/>
      <c r="J276" s="283"/>
      <c r="K276" s="283"/>
      <c r="L276" s="283"/>
      <c r="M276" s="283"/>
      <c r="N276" s="283"/>
      <c r="O276" s="269"/>
      <c r="P276" s="269"/>
      <c r="Q276" s="269"/>
    </row>
    <row r="277" spans="1:17" ht="12.75" hidden="1" customHeight="1" x14ac:dyDescent="0.2">
      <c r="A277" s="269"/>
      <c r="B277" s="269"/>
      <c r="C277" s="269"/>
      <c r="D277" s="269"/>
      <c r="E277" s="282"/>
      <c r="F277" s="283"/>
      <c r="G277" s="283"/>
      <c r="H277" s="284"/>
      <c r="I277" s="284"/>
      <c r="J277" s="283"/>
      <c r="K277" s="283"/>
      <c r="L277" s="283"/>
      <c r="M277" s="283"/>
      <c r="N277" s="283"/>
      <c r="O277" s="269"/>
      <c r="P277" s="269"/>
      <c r="Q277" s="269"/>
    </row>
    <row r="278" spans="1:17" ht="12.75" hidden="1" customHeight="1" x14ac:dyDescent="0.2">
      <c r="A278" s="269"/>
      <c r="B278" s="269"/>
      <c r="C278" s="269"/>
      <c r="D278" s="269"/>
      <c r="E278" s="282"/>
      <c r="F278" s="283"/>
      <c r="G278" s="283"/>
      <c r="H278" s="284"/>
      <c r="I278" s="284"/>
      <c r="J278" s="283"/>
      <c r="K278" s="283"/>
      <c r="L278" s="283"/>
      <c r="M278" s="283"/>
      <c r="N278" s="283"/>
      <c r="O278" s="269"/>
      <c r="P278" s="269"/>
      <c r="Q278" s="269"/>
    </row>
    <row r="279" spans="1:17" ht="12.75" hidden="1" customHeight="1" x14ac:dyDescent="0.2">
      <c r="A279" s="269"/>
      <c r="B279" s="269"/>
      <c r="C279" s="269"/>
      <c r="D279" s="269"/>
      <c r="E279" s="282"/>
      <c r="F279" s="283"/>
      <c r="G279" s="283"/>
      <c r="H279" s="284"/>
      <c r="I279" s="284"/>
      <c r="J279" s="283"/>
      <c r="K279" s="283"/>
      <c r="L279" s="283"/>
      <c r="M279" s="283"/>
      <c r="N279" s="283"/>
      <c r="O279" s="269"/>
      <c r="P279" s="269"/>
      <c r="Q279" s="269"/>
    </row>
    <row r="280" spans="1:17" ht="12.75" hidden="1" customHeight="1" x14ac:dyDescent="0.2">
      <c r="A280" s="269"/>
      <c r="B280" s="269"/>
      <c r="C280" s="269"/>
      <c r="D280" s="269"/>
      <c r="E280" s="282"/>
      <c r="F280" s="283"/>
      <c r="G280" s="283"/>
      <c r="H280" s="284"/>
      <c r="I280" s="284"/>
      <c r="J280" s="283"/>
      <c r="K280" s="283"/>
      <c r="L280" s="283"/>
      <c r="M280" s="283"/>
      <c r="N280" s="283"/>
      <c r="O280" s="269"/>
      <c r="P280" s="269"/>
      <c r="Q280" s="269"/>
    </row>
    <row r="281" spans="1:17" ht="12.75" hidden="1" customHeight="1" x14ac:dyDescent="0.2">
      <c r="A281" s="269"/>
      <c r="B281" s="269"/>
      <c r="C281" s="269"/>
      <c r="D281" s="269"/>
      <c r="E281" s="282"/>
      <c r="F281" s="283"/>
      <c r="G281" s="283"/>
      <c r="H281" s="284"/>
      <c r="I281" s="284"/>
      <c r="J281" s="283"/>
      <c r="K281" s="283"/>
      <c r="L281" s="283"/>
      <c r="M281" s="283"/>
      <c r="N281" s="283"/>
      <c r="O281" s="269"/>
      <c r="P281" s="269"/>
      <c r="Q281" s="269"/>
    </row>
    <row r="282" spans="1:17" ht="12.75" hidden="1" customHeight="1" x14ac:dyDescent="0.2">
      <c r="A282" s="269"/>
      <c r="B282" s="269"/>
      <c r="C282" s="269"/>
      <c r="D282" s="269"/>
      <c r="E282" s="282"/>
      <c r="F282" s="283"/>
      <c r="G282" s="283"/>
      <c r="H282" s="284"/>
      <c r="I282" s="284"/>
      <c r="J282" s="283"/>
      <c r="K282" s="283"/>
      <c r="L282" s="283"/>
      <c r="M282" s="283"/>
      <c r="N282" s="283"/>
      <c r="O282" s="269"/>
      <c r="P282" s="269"/>
      <c r="Q282" s="269"/>
    </row>
    <row r="283" spans="1:17" ht="12.75" hidden="1" customHeight="1" x14ac:dyDescent="0.2">
      <c r="A283" s="269"/>
      <c r="B283" s="269"/>
      <c r="C283" s="269"/>
      <c r="D283" s="269"/>
      <c r="E283" s="282"/>
      <c r="F283" s="283"/>
      <c r="G283" s="283"/>
      <c r="H283" s="284"/>
      <c r="I283" s="284"/>
      <c r="J283" s="283"/>
      <c r="K283" s="283"/>
      <c r="L283" s="283"/>
      <c r="M283" s="283"/>
      <c r="N283" s="283"/>
      <c r="O283" s="269"/>
      <c r="P283" s="269"/>
      <c r="Q283" s="269"/>
    </row>
    <row r="284" spans="1:17" ht="12.75" hidden="1" customHeight="1" x14ac:dyDescent="0.2">
      <c r="A284" s="269"/>
      <c r="B284" s="269"/>
      <c r="C284" s="269"/>
      <c r="D284" s="269"/>
      <c r="E284" s="282"/>
      <c r="F284" s="283"/>
      <c r="G284" s="283"/>
      <c r="H284" s="284"/>
      <c r="I284" s="284"/>
      <c r="J284" s="283"/>
      <c r="K284" s="283"/>
      <c r="L284" s="283"/>
      <c r="M284" s="283"/>
      <c r="N284" s="283"/>
      <c r="O284" s="269"/>
      <c r="P284" s="269"/>
      <c r="Q284" s="269"/>
    </row>
    <row r="285" spans="1:17" ht="12.75" hidden="1" customHeight="1" x14ac:dyDescent="0.2">
      <c r="A285" s="269"/>
      <c r="B285" s="269"/>
      <c r="C285" s="269"/>
      <c r="D285" s="269"/>
      <c r="E285" s="282"/>
      <c r="F285" s="283"/>
      <c r="G285" s="283"/>
      <c r="H285" s="284"/>
      <c r="I285" s="284"/>
      <c r="J285" s="283"/>
      <c r="K285" s="283"/>
      <c r="L285" s="283"/>
      <c r="M285" s="283"/>
      <c r="N285" s="283"/>
      <c r="O285" s="269"/>
      <c r="P285" s="269"/>
      <c r="Q285" s="269"/>
    </row>
    <row r="286" spans="1:17" ht="12.75" hidden="1" customHeight="1" x14ac:dyDescent="0.2">
      <c r="A286" s="269"/>
      <c r="B286" s="269"/>
      <c r="C286" s="269"/>
      <c r="D286" s="269"/>
      <c r="E286" s="282"/>
      <c r="F286" s="283"/>
      <c r="G286" s="283"/>
      <c r="H286" s="284"/>
      <c r="I286" s="284"/>
      <c r="J286" s="283"/>
      <c r="K286" s="283"/>
      <c r="L286" s="283"/>
      <c r="M286" s="283"/>
      <c r="N286" s="283"/>
      <c r="O286" s="269"/>
      <c r="P286" s="269"/>
      <c r="Q286" s="269"/>
    </row>
    <row r="287" spans="1:17" ht="12.75" hidden="1" customHeight="1" x14ac:dyDescent="0.2">
      <c r="A287" s="269"/>
      <c r="B287" s="269"/>
      <c r="C287" s="269"/>
      <c r="D287" s="269"/>
      <c r="E287" s="282"/>
      <c r="F287" s="283"/>
      <c r="G287" s="283"/>
      <c r="H287" s="284"/>
      <c r="I287" s="284"/>
      <c r="J287" s="283"/>
      <c r="K287" s="283"/>
      <c r="L287" s="283"/>
      <c r="M287" s="283"/>
      <c r="N287" s="283"/>
      <c r="O287" s="269"/>
      <c r="P287" s="269"/>
      <c r="Q287" s="269"/>
    </row>
    <row r="288" spans="1:17" ht="12.75" hidden="1" customHeight="1" x14ac:dyDescent="0.2">
      <c r="A288" s="269"/>
      <c r="B288" s="269"/>
      <c r="C288" s="269"/>
      <c r="D288" s="269"/>
      <c r="E288" s="282"/>
      <c r="F288" s="283"/>
      <c r="G288" s="283"/>
      <c r="H288" s="284"/>
      <c r="I288" s="284"/>
      <c r="J288" s="283"/>
      <c r="K288" s="283"/>
      <c r="L288" s="283"/>
      <c r="M288" s="283"/>
      <c r="N288" s="283"/>
      <c r="O288" s="269"/>
      <c r="P288" s="269"/>
      <c r="Q288" s="269"/>
    </row>
    <row r="289" spans="1:17" ht="12.75" hidden="1" customHeight="1" x14ac:dyDescent="0.2">
      <c r="A289" s="269"/>
      <c r="B289" s="269"/>
      <c r="C289" s="269"/>
      <c r="D289" s="269"/>
      <c r="E289" s="282"/>
      <c r="F289" s="283"/>
      <c r="G289" s="283"/>
      <c r="H289" s="284"/>
      <c r="I289" s="284"/>
      <c r="J289" s="283"/>
      <c r="K289" s="283"/>
      <c r="L289" s="283"/>
      <c r="M289" s="283"/>
      <c r="N289" s="283"/>
      <c r="O289" s="269"/>
      <c r="P289" s="269"/>
      <c r="Q289" s="269"/>
    </row>
    <row r="290" spans="1:17" ht="12.75" hidden="1" customHeight="1" x14ac:dyDescent="0.2">
      <c r="A290" s="269"/>
      <c r="B290" s="269"/>
      <c r="C290" s="269"/>
      <c r="D290" s="269"/>
      <c r="E290" s="282"/>
      <c r="F290" s="283"/>
      <c r="G290" s="283"/>
      <c r="H290" s="284"/>
      <c r="I290" s="284"/>
      <c r="J290" s="283"/>
      <c r="K290" s="283"/>
      <c r="L290" s="283"/>
      <c r="M290" s="283"/>
      <c r="N290" s="283"/>
      <c r="O290" s="269"/>
      <c r="P290" s="269"/>
      <c r="Q290" s="269"/>
    </row>
    <row r="291" spans="1:17" ht="12.75" hidden="1" customHeight="1" x14ac:dyDescent="0.2">
      <c r="A291" s="269"/>
      <c r="B291" s="269"/>
      <c r="C291" s="269"/>
      <c r="D291" s="269"/>
      <c r="E291" s="282"/>
      <c r="F291" s="283"/>
      <c r="G291" s="283"/>
      <c r="H291" s="284"/>
      <c r="I291" s="284"/>
      <c r="J291" s="283"/>
      <c r="K291" s="283"/>
      <c r="L291" s="283"/>
      <c r="M291" s="283"/>
      <c r="N291" s="283"/>
      <c r="O291" s="269"/>
      <c r="P291" s="269"/>
      <c r="Q291" s="269"/>
    </row>
    <row r="292" spans="1:17" ht="12.75" hidden="1" customHeight="1" x14ac:dyDescent="0.2">
      <c r="A292" s="269"/>
      <c r="B292" s="269"/>
      <c r="C292" s="269"/>
      <c r="D292" s="269"/>
      <c r="E292" s="282"/>
      <c r="F292" s="283"/>
      <c r="G292" s="283"/>
      <c r="H292" s="284"/>
      <c r="I292" s="284"/>
      <c r="J292" s="283"/>
      <c r="K292" s="283"/>
      <c r="L292" s="283"/>
      <c r="M292" s="283"/>
      <c r="N292" s="283"/>
      <c r="O292" s="269"/>
      <c r="P292" s="269"/>
      <c r="Q292" s="269"/>
    </row>
    <row r="293" spans="1:17" ht="12.75" hidden="1" customHeight="1" x14ac:dyDescent="0.2">
      <c r="A293" s="269"/>
      <c r="B293" s="269"/>
      <c r="C293" s="269"/>
      <c r="D293" s="269"/>
      <c r="E293" s="282"/>
      <c r="F293" s="283"/>
      <c r="G293" s="283"/>
      <c r="H293" s="284"/>
      <c r="I293" s="284"/>
      <c r="J293" s="283"/>
      <c r="K293" s="283"/>
      <c r="L293" s="283"/>
      <c r="M293" s="283"/>
      <c r="N293" s="283"/>
      <c r="O293" s="269"/>
      <c r="P293" s="269"/>
      <c r="Q293" s="269"/>
    </row>
    <row r="294" spans="1:17" ht="12.75" hidden="1" customHeight="1" x14ac:dyDescent="0.2">
      <c r="A294" s="269"/>
      <c r="B294" s="269"/>
      <c r="C294" s="269"/>
      <c r="D294" s="269"/>
      <c r="E294" s="282"/>
      <c r="F294" s="283"/>
      <c r="G294" s="283"/>
      <c r="H294" s="284"/>
      <c r="I294" s="284"/>
      <c r="J294" s="283"/>
      <c r="K294" s="283"/>
      <c r="L294" s="283"/>
      <c r="M294" s="283"/>
      <c r="N294" s="283"/>
      <c r="O294" s="269"/>
      <c r="P294" s="269"/>
      <c r="Q294" s="269"/>
    </row>
    <row r="295" spans="1:17" ht="12.75" hidden="1" customHeight="1" x14ac:dyDescent="0.2">
      <c r="A295" s="269"/>
      <c r="B295" s="269"/>
      <c r="C295" s="269"/>
      <c r="D295" s="269"/>
      <c r="E295" s="282"/>
      <c r="F295" s="283"/>
      <c r="G295" s="283"/>
      <c r="H295" s="284"/>
      <c r="I295" s="284"/>
      <c r="J295" s="283"/>
      <c r="K295" s="283"/>
      <c r="L295" s="283"/>
      <c r="M295" s="283"/>
      <c r="N295" s="283"/>
      <c r="O295" s="269"/>
      <c r="P295" s="269"/>
      <c r="Q295" s="269"/>
    </row>
    <row r="296" spans="1:17" ht="12.75" hidden="1" customHeight="1" x14ac:dyDescent="0.2">
      <c r="A296" s="269"/>
      <c r="B296" s="269"/>
      <c r="C296" s="269"/>
      <c r="D296" s="269"/>
      <c r="E296" s="282"/>
      <c r="F296" s="283"/>
      <c r="G296" s="283"/>
      <c r="H296" s="284"/>
      <c r="I296" s="284"/>
      <c r="J296" s="283"/>
      <c r="K296" s="283"/>
      <c r="L296" s="283"/>
      <c r="M296" s="283"/>
      <c r="N296" s="283"/>
      <c r="O296" s="269"/>
      <c r="P296" s="269"/>
      <c r="Q296" s="269"/>
    </row>
    <row r="297" spans="1:17" ht="12.75" hidden="1" customHeight="1" x14ac:dyDescent="0.2">
      <c r="A297" s="269"/>
      <c r="B297" s="269"/>
      <c r="C297" s="269"/>
      <c r="D297" s="269"/>
      <c r="E297" s="282"/>
      <c r="F297" s="283"/>
      <c r="G297" s="283"/>
      <c r="H297" s="284"/>
      <c r="I297" s="284"/>
      <c r="J297" s="283"/>
      <c r="K297" s="283"/>
      <c r="L297" s="283"/>
      <c r="M297" s="283"/>
      <c r="N297" s="283"/>
      <c r="O297" s="269"/>
      <c r="P297" s="269"/>
      <c r="Q297" s="269"/>
    </row>
    <row r="298" spans="1:17" ht="12.75" hidden="1" customHeight="1" x14ac:dyDescent="0.2">
      <c r="A298" s="269"/>
      <c r="B298" s="269"/>
      <c r="C298" s="269"/>
      <c r="D298" s="269"/>
      <c r="E298" s="282"/>
      <c r="F298" s="283"/>
      <c r="G298" s="283"/>
      <c r="H298" s="284"/>
      <c r="I298" s="284"/>
      <c r="J298" s="283"/>
      <c r="K298" s="283"/>
      <c r="L298" s="283"/>
      <c r="M298" s="283"/>
      <c r="N298" s="283"/>
      <c r="O298" s="269"/>
      <c r="P298" s="269"/>
      <c r="Q298" s="269"/>
    </row>
    <row r="299" spans="1:17" ht="12.75" hidden="1" customHeight="1" x14ac:dyDescent="0.2">
      <c r="A299" s="269"/>
      <c r="B299" s="269"/>
      <c r="C299" s="269"/>
      <c r="D299" s="269"/>
      <c r="E299" s="282"/>
      <c r="F299" s="283"/>
      <c r="G299" s="283"/>
      <c r="H299" s="284"/>
      <c r="I299" s="284"/>
      <c r="J299" s="283"/>
      <c r="K299" s="283"/>
      <c r="L299" s="283"/>
      <c r="M299" s="283"/>
      <c r="N299" s="283"/>
      <c r="O299" s="269"/>
      <c r="P299" s="269"/>
      <c r="Q299" s="269"/>
    </row>
    <row r="300" spans="1:17" x14ac:dyDescent="0.2"/>
  </sheetData>
  <sheetProtection selectLockedCells="1"/>
  <mergeCells count="7">
    <mergeCell ref="F2:L2"/>
    <mergeCell ref="B1:R1"/>
    <mergeCell ref="O8:O13"/>
    <mergeCell ref="Q5:R7"/>
    <mergeCell ref="O3:O4"/>
    <mergeCell ref="Q3:R4"/>
    <mergeCell ref="C3:M3"/>
  </mergeCells>
  <phoneticPr fontId="5" type="noConversion"/>
  <conditionalFormatting sqref="P25 N8:N33 C8:C34 D8:D33">
    <cfRule type="cellIs" dxfId="72" priority="50" operator="equal">
      <formula>""</formula>
    </cfRule>
  </conditionalFormatting>
  <conditionalFormatting sqref="B8:B34 C7:D7">
    <cfRule type="cellIs" dxfId="71" priority="47" operator="equal">
      <formula>1</formula>
    </cfRule>
  </conditionalFormatting>
  <conditionalFormatting sqref="F2:N2">
    <cfRule type="expression" dxfId="70" priority="56">
      <formula>F2&lt;&gt;0</formula>
    </cfRule>
  </conditionalFormatting>
  <conditionalFormatting sqref="H7">
    <cfRule type="cellIs" dxfId="69" priority="18" operator="notEqual">
      <formula>#REF!</formula>
    </cfRule>
  </conditionalFormatting>
  <conditionalFormatting sqref="N36 H6:K6 E32:M36 G8:K31 M8:M31">
    <cfRule type="cellIs" dxfId="68" priority="55" stopIfTrue="1" operator="notEqual">
      <formula>""</formula>
    </cfRule>
  </conditionalFormatting>
  <conditionalFormatting sqref="P36">
    <cfRule type="expression" dxfId="67" priority="39">
      <formula>$D36=""</formula>
    </cfRule>
    <cfRule type="cellIs" dxfId="66" priority="40" operator="notEqual">
      <formula>""</formula>
    </cfRule>
  </conditionalFormatting>
  <conditionalFormatting sqref="L7">
    <cfRule type="cellIs" dxfId="65" priority="23" operator="notEqual">
      <formula>#REF!</formula>
    </cfRule>
  </conditionalFormatting>
  <conditionalFormatting sqref="F7">
    <cfRule type="cellIs" dxfId="64" priority="17" operator="notEqual">
      <formula>#REF!</formula>
    </cfRule>
  </conditionalFormatting>
  <conditionalFormatting sqref="E7">
    <cfRule type="cellIs" dxfId="63" priority="16" operator="notEqual">
      <formula>E41</formula>
    </cfRule>
  </conditionalFormatting>
  <conditionalFormatting sqref="J7">
    <cfRule type="cellIs" dxfId="62" priority="19" operator="notEqual">
      <formula>#REF!</formula>
    </cfRule>
  </conditionalFormatting>
  <conditionalFormatting sqref="H6 J6">
    <cfRule type="cellIs" dxfId="61" priority="97" operator="equal">
      <formula>""</formula>
    </cfRule>
    <cfRule type="cellIs" dxfId="60" priority="98" operator="greaterThan">
      <formula>0</formula>
    </cfRule>
  </conditionalFormatting>
  <conditionalFormatting sqref="M7">
    <cfRule type="expression" dxfId="59" priority="10">
      <formula>#REF!=#REF!</formula>
    </cfRule>
  </conditionalFormatting>
  <conditionalFormatting sqref="G7">
    <cfRule type="expression" dxfId="58" priority="9">
      <formula>#REF!=#REF!</formula>
    </cfRule>
  </conditionalFormatting>
  <conditionalFormatting sqref="I7">
    <cfRule type="expression" dxfId="57" priority="8">
      <formula>#REF!=#REF!</formula>
    </cfRule>
  </conditionalFormatting>
  <conditionalFormatting sqref="K7">
    <cfRule type="expression" dxfId="56" priority="7">
      <formula>#REF!=#REF!</formula>
    </cfRule>
  </conditionalFormatting>
  <conditionalFormatting sqref="E8:E31">
    <cfRule type="cellIs" dxfId="55" priority="6" stopIfTrue="1" operator="notEqual">
      <formula>""</formula>
    </cfRule>
  </conditionalFormatting>
  <conditionalFormatting sqref="E8:E31">
    <cfRule type="expression" dxfId="54" priority="5">
      <formula>OR(n="",$C8="",$C8="G1")</formula>
    </cfRule>
  </conditionalFormatting>
  <conditionalFormatting sqref="F8:F31">
    <cfRule type="cellIs" dxfId="53" priority="4" stopIfTrue="1" operator="notEqual">
      <formula>""</formula>
    </cfRule>
  </conditionalFormatting>
  <conditionalFormatting sqref="F8:F31">
    <cfRule type="expression" dxfId="52" priority="3">
      <formula>OR(m="",$C8="",$C8="G1")</formula>
    </cfRule>
  </conditionalFormatting>
  <conditionalFormatting sqref="L8:L31">
    <cfRule type="cellIs" dxfId="51" priority="2" stopIfTrue="1" operator="notEqual">
      <formula>""</formula>
    </cfRule>
  </conditionalFormatting>
  <conditionalFormatting sqref="L8:L31">
    <cfRule type="expression" dxfId="50" priority="1">
      <formula>OR(o="",$C8="",$C8="G1")</formula>
    </cfRule>
  </conditionalFormatting>
  <dataValidations disablePrompts="1" count="1">
    <dataValidation type="whole" operator="lessThanOrEqual" allowBlank="1" showInputMessage="1" showErrorMessage="1" sqref="D6">
      <formula1>25</formula1>
    </dataValidation>
  </dataValidations>
  <pageMargins left="0.27" right="0.28999999999999998" top="0.3" bottom="0.32" header="0.17" footer="0.18"/>
  <pageSetup paperSize="9" orientation="portrait"/>
  <rowBreaks count="1" manualBreakCount="1">
    <brk id="11" max="16383" man="1"/>
  </rowBreaks>
  <ignoredErrors>
    <ignoredError sqref="E7 F6:G6 G33 G8 G9 G10 G11 G12 G13 G14 G15 G16 G17 G18 G19 G20 G21 G22 G23 G24 G25 G26 G27 G28 G29 G30 G31 G32 I6 K6:M6 M33 M8 M9 M10 M11 M12 M13 M14 M15 M16 M17 M18 M19 M20 M21 M22 M23 M24 M25 M26 M27 M28 M29 M30 M31 M32 I8 I9 I10 I11 I12 I13 I14 I15 I16 I17 I18 I19 I20 I21 I22 K8 K9 K10 K11 K12 K13 K14 K15 K16 K17 K18 K19 K20 K21 K22 K23 I23 I33:K33 I24:K24 I25:K25 I26:K26 I27:K27 I28:K28 I29:K29 I30:K30 I31:K31 I32:K32 G7:M7" emptyCellReference="1"/>
  </ignoredErrors>
  <drawing r:id="rId1"/>
  <legacyDrawing r:id="rId2"/>
  <mc:AlternateContent xmlns:mc="http://schemas.openxmlformats.org/markup-compatibility/2006">
    <mc:Choice Requires="x14">
      <controls>
        <mc:AlternateContent xmlns:mc="http://schemas.openxmlformats.org/markup-compatibility/2006">
          <mc:Choice Requires="x14">
            <control shapeId="1080" r:id="rId3" name="Drop Down 56">
              <controlPr defaultSize="0" autoLine="0" autoPict="0">
                <anchor moveWithCells="1">
                  <from>
                    <xdr:col>9</xdr:col>
                    <xdr:colOff>9525</xdr:colOff>
                    <xdr:row>4</xdr:row>
                    <xdr:rowOff>0</xdr:rowOff>
                  </from>
                  <to>
                    <xdr:col>11</xdr:col>
                    <xdr:colOff>180975</xdr:colOff>
                    <xdr:row>4</xdr:row>
                    <xdr:rowOff>180975</xdr:rowOff>
                  </to>
                </anchor>
              </controlPr>
            </control>
          </mc:Choice>
        </mc:AlternateContent>
        <mc:AlternateContent xmlns:mc="http://schemas.openxmlformats.org/markup-compatibility/2006">
          <mc:Choice Requires="x14">
            <control shapeId="1082" r:id="rId4" name="Drop Down 58">
              <controlPr defaultSize="0" autoLine="0" autoPict="0">
                <anchor moveWithCells="1">
                  <from>
                    <xdr:col>6</xdr:col>
                    <xdr:colOff>47625</xdr:colOff>
                    <xdr:row>4</xdr:row>
                    <xdr:rowOff>0</xdr:rowOff>
                  </from>
                  <to>
                    <xdr:col>8</xdr:col>
                    <xdr:colOff>314325</xdr:colOff>
                    <xdr:row>4</xdr:row>
                    <xdr:rowOff>180975</xdr:rowOff>
                  </to>
                </anchor>
              </controlPr>
            </control>
          </mc:Choice>
        </mc:AlternateContent>
        <mc:AlternateContent xmlns:mc="http://schemas.openxmlformats.org/markup-compatibility/2006">
          <mc:Choice Requires="x14">
            <control shapeId="1106" r:id="rId5" name="Drop Down 82">
              <controlPr locked="0" defaultSize="0" print="0" autoLine="0" autoPict="0">
                <anchor moveWithCells="1" sizeWithCells="1">
                  <from>
                    <xdr:col>16</xdr:col>
                    <xdr:colOff>209550</xdr:colOff>
                    <xdr:row>10</xdr:row>
                    <xdr:rowOff>38100</xdr:rowOff>
                  </from>
                  <to>
                    <xdr:col>17</xdr:col>
                    <xdr:colOff>714375</xdr:colOff>
                    <xdr:row>12</xdr:row>
                    <xdr:rowOff>9525</xdr:rowOff>
                  </to>
                </anchor>
              </controlPr>
            </control>
          </mc:Choice>
        </mc:AlternateContent>
        <mc:AlternateContent xmlns:mc="http://schemas.openxmlformats.org/markup-compatibility/2006">
          <mc:Choice Requires="x14">
            <control shapeId="1113" r:id="rId6" name="Drop Down 89">
              <controlPr locked="0" defaultSize="0" print="0" autoLine="0" autoPict="0">
                <anchor moveWithCells="1" sizeWithCells="1">
                  <from>
                    <xdr:col>16</xdr:col>
                    <xdr:colOff>219075</xdr:colOff>
                    <xdr:row>15</xdr:row>
                    <xdr:rowOff>76200</xdr:rowOff>
                  </from>
                  <to>
                    <xdr:col>17</xdr:col>
                    <xdr:colOff>714375</xdr:colOff>
                    <xdr:row>17</xdr:row>
                    <xdr:rowOff>47625</xdr:rowOff>
                  </to>
                </anchor>
              </controlPr>
            </control>
          </mc:Choice>
        </mc:AlternateContent>
        <mc:AlternateContent xmlns:mc="http://schemas.openxmlformats.org/markup-compatibility/2006">
          <mc:Choice Requires="x14">
            <control shapeId="1114" r:id="rId7" name="Drop Down 90">
              <controlPr locked="0" defaultSize="0" print="0" autoLine="0" autoPict="0">
                <anchor moveWithCells="1" sizeWithCells="1">
                  <from>
                    <xdr:col>16</xdr:col>
                    <xdr:colOff>219075</xdr:colOff>
                    <xdr:row>12</xdr:row>
                    <xdr:rowOff>104775</xdr:rowOff>
                  </from>
                  <to>
                    <xdr:col>17</xdr:col>
                    <xdr:colOff>704850</xdr:colOff>
                    <xdr:row>14</xdr:row>
                    <xdr:rowOff>85725</xdr:rowOff>
                  </to>
                </anchor>
              </controlPr>
            </control>
          </mc:Choice>
        </mc:AlternateContent>
        <mc:AlternateContent xmlns:mc="http://schemas.openxmlformats.org/markup-compatibility/2006">
          <mc:Choice Requires="x14">
            <control shapeId="1160" r:id="rId8" name="Drop Down 136">
              <controlPr locked="0" defaultSize="0" print="0" autoLine="0" autoPict="0">
                <anchor moveWithCells="1" sizeWithCells="1">
                  <from>
                    <xdr:col>16</xdr:col>
                    <xdr:colOff>209550</xdr:colOff>
                    <xdr:row>7</xdr:row>
                    <xdr:rowOff>76200</xdr:rowOff>
                  </from>
                  <to>
                    <xdr:col>17</xdr:col>
                    <xdr:colOff>704850</xdr:colOff>
                    <xdr:row>9</xdr:row>
                    <xdr:rowOff>38100</xdr:rowOff>
                  </to>
                </anchor>
              </controlPr>
            </control>
          </mc:Choice>
        </mc:AlternateContent>
        <mc:AlternateContent xmlns:mc="http://schemas.openxmlformats.org/markup-compatibility/2006">
          <mc:Choice Requires="x14">
            <control shapeId="1175" r:id="rId9" name="Button 151">
              <controlPr defaultSize="0" print="0" autoFill="0" autoPict="0" altText="P max">
                <anchor moveWithCells="1" sizeWithCells="1">
                  <from>
                    <xdr:col>17</xdr:col>
                    <xdr:colOff>304800</xdr:colOff>
                    <xdr:row>7</xdr:row>
                    <xdr:rowOff>47625</xdr:rowOff>
                  </from>
                  <to>
                    <xdr:col>18</xdr:col>
                    <xdr:colOff>0</xdr:colOff>
                    <xdr:row>9</xdr:row>
                    <xdr:rowOff>85725</xdr:rowOff>
                  </to>
                </anchor>
              </controlPr>
            </control>
          </mc:Choice>
        </mc:AlternateContent>
        <mc:AlternateContent xmlns:mc="http://schemas.openxmlformats.org/markup-compatibility/2006">
          <mc:Choice Requires="x14">
            <control shapeId="1176" r:id="rId10" name="Button 152">
              <controlPr defaultSize="0" print="0" autoFill="0" autoPict="0" altText="P max">
                <anchor moveWithCells="1" sizeWithCells="1">
                  <from>
                    <xdr:col>17</xdr:col>
                    <xdr:colOff>304800</xdr:colOff>
                    <xdr:row>10</xdr:row>
                    <xdr:rowOff>9525</xdr:rowOff>
                  </from>
                  <to>
                    <xdr:col>18</xdr:col>
                    <xdr:colOff>0</xdr:colOff>
                    <xdr:row>12</xdr:row>
                    <xdr:rowOff>47625</xdr:rowOff>
                  </to>
                </anchor>
              </controlPr>
            </control>
          </mc:Choice>
        </mc:AlternateContent>
        <mc:AlternateContent xmlns:mc="http://schemas.openxmlformats.org/markup-compatibility/2006">
          <mc:Choice Requires="x14">
            <control shapeId="1177" r:id="rId11" name="Button 153">
              <controlPr defaultSize="0" print="0" autoFill="0" autoPict="0" altText="P max">
                <anchor moveWithCells="1" sizeWithCells="1">
                  <from>
                    <xdr:col>17</xdr:col>
                    <xdr:colOff>304800</xdr:colOff>
                    <xdr:row>12</xdr:row>
                    <xdr:rowOff>85725</xdr:rowOff>
                  </from>
                  <to>
                    <xdr:col>17</xdr:col>
                    <xdr:colOff>752475</xdr:colOff>
                    <xdr:row>15</xdr:row>
                    <xdr:rowOff>9525</xdr:rowOff>
                  </to>
                </anchor>
              </controlPr>
            </control>
          </mc:Choice>
        </mc:AlternateContent>
        <mc:AlternateContent xmlns:mc="http://schemas.openxmlformats.org/markup-compatibility/2006">
          <mc:Choice Requires="x14">
            <control shapeId="1178" r:id="rId12" name="Button 154">
              <controlPr defaultSize="0" print="0" autoFill="0" autoPict="0" altText="P max">
                <anchor moveWithCells="1" sizeWithCells="1">
                  <from>
                    <xdr:col>17</xdr:col>
                    <xdr:colOff>304800</xdr:colOff>
                    <xdr:row>15</xdr:row>
                    <xdr:rowOff>57150</xdr:rowOff>
                  </from>
                  <to>
                    <xdr:col>17</xdr:col>
                    <xdr:colOff>752475</xdr:colOff>
                    <xdr:row>17</xdr:row>
                    <xdr:rowOff>104775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rgb="FFFFFF66"/>
    <outlinePr summaryBelow="0"/>
    <pageSetUpPr autoPageBreaks="0"/>
  </sheetPr>
  <dimension ref="A1:AA81"/>
  <sheetViews>
    <sheetView showGridLines="0" showRowColHeaders="0" showOutlineSymbols="0" zoomScale="90" zoomScaleNormal="90" zoomScalePageLayoutView="120" workbookViewId="0">
      <selection activeCell="B1" sqref="B1:U1"/>
    </sheetView>
  </sheetViews>
  <sheetFormatPr baseColWidth="10" defaultColWidth="0" defaultRowHeight="12.75" zeroHeight="1" x14ac:dyDescent="0.2"/>
  <cols>
    <col min="1" max="1" width="1.85546875" style="30" customWidth="1"/>
    <col min="2" max="2" width="10.42578125" style="17" customWidth="1"/>
    <col min="3" max="3" width="10.28515625" style="35" customWidth="1"/>
    <col min="4" max="4" width="11.28515625" style="1" customWidth="1"/>
    <col min="5" max="5" width="1.7109375" style="30" customWidth="1"/>
    <col min="6" max="6" width="11.85546875" style="38" customWidth="1"/>
    <col min="7" max="7" width="12.28515625" style="38" customWidth="1"/>
    <col min="8" max="8" width="1.7109375" style="30" customWidth="1"/>
    <col min="9" max="9" width="11.7109375" style="38" customWidth="1"/>
    <col min="10" max="10" width="12.28515625" style="38" customWidth="1"/>
    <col min="11" max="11" width="1.7109375" style="30" customWidth="1"/>
    <col min="12" max="12" width="18.85546875" style="38" customWidth="1"/>
    <col min="13" max="13" width="11.85546875" style="38" customWidth="1"/>
    <col min="14" max="16" width="11.85546875" style="17" customWidth="1"/>
    <col min="17" max="17" width="12.85546875" style="17" customWidth="1"/>
    <col min="18" max="18" width="11.85546875" style="17" customWidth="1"/>
    <col min="19" max="20" width="11.85546875" style="17" hidden="1" customWidth="1"/>
    <col min="21" max="21" width="11.85546875" style="45" customWidth="1"/>
    <col min="22" max="27" width="11.42578125" style="45" customWidth="1"/>
    <col min="28" max="16384" width="0" style="17" hidden="1"/>
  </cols>
  <sheetData>
    <row r="1" spans="1:27" ht="27.95" customHeight="1" x14ac:dyDescent="0.2">
      <c r="A1" s="419"/>
      <c r="B1" s="437" t="str">
        <f>'C-L'!CX1</f>
        <v>book 26-1</v>
      </c>
      <c r="C1" s="437"/>
      <c r="D1" s="437"/>
      <c r="E1" s="437"/>
      <c r="F1" s="437"/>
      <c r="G1" s="437"/>
      <c r="H1" s="437"/>
      <c r="I1" s="437"/>
      <c r="J1" s="437"/>
      <c r="K1" s="437"/>
      <c r="L1" s="437"/>
      <c r="M1" s="437"/>
      <c r="N1" s="437"/>
      <c r="O1" s="437"/>
      <c r="P1" s="437"/>
      <c r="Q1" s="437"/>
      <c r="R1" s="437"/>
      <c r="S1" s="437"/>
      <c r="T1" s="437"/>
      <c r="U1" s="437"/>
      <c r="V1" s="419"/>
      <c r="W1" s="419"/>
      <c r="X1" s="419"/>
      <c r="Y1" s="419"/>
      <c r="Z1" s="419"/>
      <c r="AA1" s="419"/>
    </row>
    <row r="2" spans="1:27" s="30" customFormat="1" ht="27.95" customHeight="1" x14ac:dyDescent="0.2">
      <c r="A2" s="15"/>
      <c r="B2" s="438" t="str">
        <f>'C-L'!BY1</f>
        <v>Data entry in grey cells (they will turn to yellow). When yellow, modification is allowed.</v>
      </c>
      <c r="C2" s="438"/>
      <c r="D2" s="438"/>
      <c r="E2" s="18"/>
      <c r="F2" s="33"/>
      <c r="G2" s="438" t="str">
        <f>'C-L'!BZ1</f>
        <v>Enter only numbers from 1 to 12</v>
      </c>
      <c r="H2" s="438"/>
      <c r="I2" s="438"/>
      <c r="J2" s="438"/>
      <c r="K2" s="438"/>
      <c r="L2" s="438"/>
      <c r="M2" s="449" t="str">
        <f>'C-P'!E46</f>
        <v>ATTENTION: Incomplete data in 1-DG or 2_DL sheet</v>
      </c>
      <c r="N2" s="449"/>
      <c r="O2" s="449"/>
      <c r="P2" s="449"/>
      <c r="Q2" s="449"/>
      <c r="R2" s="449"/>
      <c r="S2" s="8"/>
      <c r="T2" s="8"/>
      <c r="U2" s="18"/>
      <c r="V2" s="18"/>
      <c r="W2" s="18"/>
      <c r="X2" s="18"/>
      <c r="Y2" s="18"/>
      <c r="Z2" s="18"/>
      <c r="AA2" s="18"/>
    </row>
    <row r="3" spans="1:27" s="30" customFormat="1" x14ac:dyDescent="0.2">
      <c r="A3" s="34"/>
      <c r="B3" s="18"/>
      <c r="C3" s="19"/>
      <c r="D3" s="2"/>
      <c r="E3" s="18"/>
      <c r="F3" s="43"/>
      <c r="G3" s="15"/>
      <c r="H3" s="18"/>
      <c r="I3" s="43"/>
      <c r="J3" s="15"/>
      <c r="K3" s="18"/>
      <c r="L3" s="43"/>
      <c r="M3" s="43"/>
      <c r="N3" s="43"/>
      <c r="O3" s="43"/>
      <c r="P3" s="43"/>
      <c r="Q3" s="8"/>
      <c r="R3" s="43"/>
      <c r="S3" s="8"/>
      <c r="T3" s="8"/>
      <c r="U3" s="18"/>
      <c r="V3" s="18"/>
      <c r="W3" s="18"/>
      <c r="X3" s="18"/>
      <c r="Y3" s="18"/>
      <c r="Z3" s="18"/>
      <c r="AA3" s="18"/>
    </row>
    <row r="4" spans="1:27" ht="15.75" x14ac:dyDescent="0.2">
      <c r="A4" s="110"/>
      <c r="B4" s="450" t="str">
        <f>'C-L'!AP1</f>
        <v>The line</v>
      </c>
      <c r="C4" s="451"/>
      <c r="D4" s="451"/>
      <c r="E4" s="18"/>
      <c r="F4" s="450" t="str">
        <f>'C-L'!H1</f>
        <v>Uphill strand</v>
      </c>
      <c r="G4" s="452"/>
      <c r="H4" s="18"/>
      <c r="I4" s="450" t="str">
        <f>'C-L'!I1</f>
        <v>Downhill strand</v>
      </c>
      <c r="J4" s="452"/>
      <c r="K4" s="18"/>
      <c r="L4" s="453" t="str">
        <f>'C-L'!CA1</f>
        <v>Evaluation of your allocation</v>
      </c>
      <c r="M4" s="454"/>
      <c r="N4" s="454"/>
      <c r="O4" s="454"/>
      <c r="P4" s="454"/>
      <c r="Q4" s="454"/>
      <c r="R4" s="454"/>
      <c r="S4" s="454"/>
      <c r="T4" s="101"/>
      <c r="U4" s="101"/>
      <c r="V4" s="18"/>
      <c r="W4" s="18"/>
      <c r="X4" s="18"/>
      <c r="Y4" s="18"/>
      <c r="Z4" s="18"/>
      <c r="AA4" s="18"/>
    </row>
    <row r="5" spans="1:27" s="12" customFormat="1" ht="62.25" customHeight="1" x14ac:dyDescent="0.2">
      <c r="A5" s="111"/>
      <c r="B5" s="72" t="str">
        <f>'C-L'!V1</f>
        <v>Tower at the start</v>
      </c>
      <c r="C5" s="3" t="str">
        <f>'C-L'!W1</f>
        <v>Number of the span</v>
      </c>
      <c r="D5" s="3" t="str">
        <f>'C-L'!Z1</f>
        <v>Span inclined length</v>
      </c>
      <c r="E5" s="10"/>
      <c r="F5" s="72" t="str">
        <f>'C-L'!$CB$1</f>
        <v>The standard proposal</v>
      </c>
      <c r="G5" s="96" t="str">
        <f>'C-L'!CC1</f>
        <v>Your team allocation</v>
      </c>
      <c r="H5" s="10"/>
      <c r="I5" s="72" t="str">
        <f>'C-L'!$CB$1</f>
        <v>The standard proposal</v>
      </c>
      <c r="J5" s="96" t="str">
        <f>'C-L'!CC1</f>
        <v>Your team allocation</v>
      </c>
      <c r="K5" s="10"/>
      <c r="L5" s="72"/>
      <c r="M5" s="3" t="str">
        <f>'C-L'!W1</f>
        <v>Number of the span</v>
      </c>
      <c r="N5" s="3" t="str">
        <f>'C-L'!AB1</f>
        <v>Section</v>
      </c>
      <c r="O5" s="3" t="str">
        <f>'C-L'!AL1</f>
        <v xml:space="preserve">Evacuated duration of the last passenger </v>
      </c>
      <c r="P5" s="3" t="str">
        <f>'C-L'!Q1</f>
        <v>Maximum number of vehicles to evacuate</v>
      </c>
      <c r="Q5" s="3" t="str">
        <f>'C-L'!AM1</f>
        <v>Margin/Evacuation maximum duration</v>
      </c>
      <c r="R5" s="3" t="str">
        <f>'C-L'!F1</f>
        <v>Maximum number of evacuated persons</v>
      </c>
      <c r="S5" s="3" t="str">
        <f>'C-L'!R1</f>
        <v>Maximum number of evacuated vehicles  by team</v>
      </c>
      <c r="T5" s="91" t="str">
        <f>'C-L'!R1</f>
        <v>Maximum number of evacuated vehicles  by team</v>
      </c>
      <c r="U5" s="91" t="str">
        <f>'C-L'!R1</f>
        <v>Maximum number of evacuated vehicles  by team</v>
      </c>
      <c r="V5" s="10"/>
      <c r="W5" s="10"/>
      <c r="X5" s="10"/>
      <c r="Y5" s="10"/>
      <c r="Z5" s="10"/>
      <c r="AA5" s="10"/>
    </row>
    <row r="6" spans="1:27" ht="26.1" customHeight="1" x14ac:dyDescent="0.2">
      <c r="A6" s="34"/>
      <c r="B6" s="292" t="str">
        <f>'C-L'!BV1</f>
        <v>Total</v>
      </c>
      <c r="C6" s="298">
        <f>26-COUNTBLANK(C8:C33)</f>
        <v>0</v>
      </c>
      <c r="D6" s="297">
        <f>IF(D8="","",SUM(D8:D35))</f>
        <v>0</v>
      </c>
      <c r="E6" s="18"/>
      <c r="F6" s="289" t="str">
        <f>'C-L'!M1</f>
        <v>Team</v>
      </c>
      <c r="G6" s="317" t="str">
        <f>IF(Remplissage_du_brin_montant=0,IF(COUNT(G8:G33)=0,G40,G41),IF(AND((COUNTA(G8:G33)-1)=NBPylône,MAX(G8:G34)&lt;13,MAX(G8:G34)&gt;0),G40,G41))</f>
        <v>Entry OK</v>
      </c>
      <c r="H6" s="18"/>
      <c r="I6" s="289" t="str">
        <f>'C-L'!M1</f>
        <v>Team</v>
      </c>
      <c r="J6" s="317" t="str">
        <f>IF(Remplissage_du_brin_descendant=0,IF(COUNT(J8:J33)=0,J40,J41),IF(AND((COUNTA(J8:J33)-1)=NBPylône,MAX(J8:J34)&lt;13,MAX(J8:J34)&gt;0),J40,J41))</f>
        <v>Entry OK</v>
      </c>
      <c r="K6" s="18"/>
      <c r="L6" s="290" t="str">
        <f>'C-L'!BV1</f>
        <v>Total</v>
      </c>
      <c r="M6" s="294"/>
      <c r="N6" s="291">
        <f>SUM(N8:N21)</f>
        <v>0</v>
      </c>
      <c r="O6" s="318">
        <f>Durée_maximale_d_évacuation</f>
        <v>0</v>
      </c>
      <c r="P6" s="295">
        <f>SUM(P9:P21)</f>
        <v>0</v>
      </c>
      <c r="Q6" s="293"/>
      <c r="R6" s="296">
        <f>SUM(R9:R21)</f>
        <v>0</v>
      </c>
      <c r="S6" s="90"/>
      <c r="T6" s="90"/>
      <c r="U6" s="90"/>
      <c r="V6" s="18"/>
      <c r="W6" s="18"/>
      <c r="X6" s="18"/>
      <c r="Y6" s="18"/>
      <c r="Z6" s="18"/>
      <c r="AA6" s="18"/>
    </row>
    <row r="7" spans="1:27" ht="12" hidden="1" customHeight="1" x14ac:dyDescent="0.2">
      <c r="A7" s="34"/>
      <c r="B7" s="292"/>
      <c r="C7" s="298"/>
      <c r="D7" s="297"/>
      <c r="E7" s="18"/>
      <c r="F7" s="115" t="str">
        <f>'C-L'!$M$1&amp;" "&amp;0</f>
        <v>Team 0</v>
      </c>
      <c r="G7" s="371">
        <v>0</v>
      </c>
      <c r="H7" s="18"/>
      <c r="I7" s="115" t="str">
        <f>'C-L'!$M$1&amp;" "&amp;'C-CP'!FO6-1</f>
        <v>Team -1</v>
      </c>
      <c r="J7" s="371">
        <f>MAX(G8:G33)</f>
        <v>0</v>
      </c>
      <c r="K7" s="18"/>
      <c r="L7" s="290"/>
      <c r="M7" s="294"/>
      <c r="N7" s="291"/>
      <c r="O7" s="318"/>
      <c r="P7" s="295"/>
      <c r="Q7" s="293"/>
      <c r="R7" s="296"/>
      <c r="S7" s="90"/>
      <c r="T7" s="90"/>
      <c r="U7" s="18"/>
      <c r="V7" s="18"/>
      <c r="W7" s="18"/>
      <c r="X7" s="18"/>
      <c r="Y7" s="18"/>
      <c r="Z7" s="18"/>
      <c r="AA7" s="18"/>
    </row>
    <row r="8" spans="1:27" ht="12" customHeight="1" x14ac:dyDescent="0.2">
      <c r="A8" s="34"/>
      <c r="B8" s="95" t="str">
        <f>IF('     2-DL     '!D8="","",'     2-DL     '!C8)</f>
        <v/>
      </c>
      <c r="C8" s="6" t="str">
        <f>'     2-DL     '!D8</f>
        <v/>
      </c>
      <c r="D8" s="5">
        <f>IF('C-CP'!C6="","",'C-CP'!C6)</f>
        <v>0</v>
      </c>
      <c r="E8" s="18"/>
      <c r="F8" s="372">
        <f>IF('C-CP'!CJ6=0,0,'C-L'!$M$1&amp;" "&amp;'C-CP'!CJ6)</f>
        <v>0</v>
      </c>
      <c r="G8" s="386"/>
      <c r="H8" s="43"/>
      <c r="I8" s="372">
        <f>IF('C-CP'!FO6=0,0,'C-L'!$M$1&amp;" "&amp;""&amp;'C-CP'!FO6)</f>
        <v>0</v>
      </c>
      <c r="J8" s="386"/>
      <c r="K8" s="18"/>
      <c r="L8" s="93" t="str">
        <f>IF(AND(G8="",J8=""),"",IF('C-CU'!AY7="Brin montant",'C-L'!H1,'C-L'!I1))</f>
        <v/>
      </c>
      <c r="M8" s="361"/>
      <c r="N8" s="362"/>
      <c r="O8" s="363"/>
      <c r="P8" s="364"/>
      <c r="Q8" s="365"/>
      <c r="R8" s="366"/>
      <c r="S8" s="369"/>
      <c r="T8" s="369"/>
      <c r="U8" s="18"/>
      <c r="V8" s="18"/>
      <c r="W8" s="18"/>
      <c r="X8" s="18"/>
      <c r="Y8" s="18"/>
      <c r="Z8" s="18"/>
      <c r="AA8" s="18"/>
    </row>
    <row r="9" spans="1:27" x14ac:dyDescent="0.2">
      <c r="A9" s="34"/>
      <c r="B9" s="95" t="str">
        <f>IF('     2-DL     '!D8="","",'     2-DL     '!C9)</f>
        <v/>
      </c>
      <c r="C9" s="6" t="str">
        <f>'     2-DL     '!D9</f>
        <v/>
      </c>
      <c r="D9" s="5">
        <f>IF('C-CP'!C7="","",'C-CP'!C7)</f>
        <v>0</v>
      </c>
      <c r="E9" s="18"/>
      <c r="F9" s="372">
        <f>IF('C-CP'!CJ7=0,0,'C-L'!$M$1&amp;" "&amp;'C-CP'!CJ7)</f>
        <v>0</v>
      </c>
      <c r="G9" s="386"/>
      <c r="H9" s="43"/>
      <c r="I9" s="372">
        <f>IF('C-CP'!FO7=0,0,'C-L'!$M$1&amp;" "&amp;'C-CP'!FO7)</f>
        <v>0</v>
      </c>
      <c r="J9" s="386"/>
      <c r="K9" s="18"/>
      <c r="L9" s="93" t="str">
        <f>IF(L8="","",IF('C-CU'!AY8="","",IF('C-CU'!AY8="Brin descendant",'C-L'!$I$1,'C-L'!$M$1&amp;" "&amp;'C-CU'!AY8)))</f>
        <v/>
      </c>
      <c r="M9" s="94" t="str">
        <f>'C-CU'!AZ8&amp;'C-CU'!BF8</f>
        <v/>
      </c>
      <c r="N9" s="154">
        <f>'C-CU'!BC8+'C-CU'!BI8</f>
        <v>0</v>
      </c>
      <c r="O9" s="106">
        <f>'C-CU'!BA8+'C-CU'!BG8</f>
        <v>0</v>
      </c>
      <c r="P9" s="107">
        <f>'C-CU'!BB8+'C-CU'!BH8</f>
        <v>0</v>
      </c>
      <c r="Q9" s="108">
        <f>IF(R9=0,0,(Durée_maximale_d_évacuation-O9)/Durée_maximale_d_évacuation)</f>
        <v>0</v>
      </c>
      <c r="R9" s="373">
        <f>'C-CU'!BD8+'C-CU'!BJ8</f>
        <v>0</v>
      </c>
      <c r="S9" s="374">
        <f>IF('C-CU'!AZ8="",0,ROUNDDOWN(NMaxSiègeEquipe*(1+(100-Remplissage_du_brin_montant)*0.005),0))</f>
        <v>0</v>
      </c>
      <c r="T9" s="374">
        <f>IF('C-CU'!BF8="",0,ROUNDDOWN(NMaxSiègeEquipe*(1+(100-Remplissage_du_brin_descendant)*0.005),0))</f>
        <v>0</v>
      </c>
      <c r="U9" s="92">
        <f>S9+T9</f>
        <v>0</v>
      </c>
      <c r="V9" s="18"/>
      <c r="W9" s="18"/>
      <c r="X9" s="18"/>
      <c r="Y9" s="18"/>
      <c r="Z9" s="18"/>
      <c r="AA9" s="18"/>
    </row>
    <row r="10" spans="1:27" x14ac:dyDescent="0.2">
      <c r="A10" s="34"/>
      <c r="B10" s="95" t="str">
        <f>'     2-DL     '!C10</f>
        <v/>
      </c>
      <c r="C10" s="6" t="str">
        <f>'     2-DL     '!D10</f>
        <v/>
      </c>
      <c r="D10" s="5">
        <f>IF('C-CP'!C8="","",'C-CP'!C8)</f>
        <v>0</v>
      </c>
      <c r="E10" s="18"/>
      <c r="F10" s="372">
        <f>IF('C-CP'!CJ8=0,0,'C-L'!$M$1&amp;" "&amp;'C-CP'!CJ8)</f>
        <v>0</v>
      </c>
      <c r="G10" s="386"/>
      <c r="H10" s="43"/>
      <c r="I10" s="372">
        <f>IF('C-CP'!FO8=0,0,'C-L'!$M$1&amp;" "&amp;'C-CP'!FO8)</f>
        <v>0</v>
      </c>
      <c r="J10" s="386"/>
      <c r="K10" s="18"/>
      <c r="L10" s="93" t="str">
        <f>IF(L9="","",IF('C-CU'!AY9="","",IF('C-CU'!AY9="Brin descendant",'C-L'!$I$1,'C-L'!$M$1&amp;" "&amp;'C-CU'!AY9)))</f>
        <v/>
      </c>
      <c r="M10" s="94" t="str">
        <f>'C-CU'!AZ9&amp;'C-CU'!BF9</f>
        <v/>
      </c>
      <c r="N10" s="154">
        <f>'C-CU'!BC9+'C-CU'!BI9</f>
        <v>0</v>
      </c>
      <c r="O10" s="106">
        <f>'C-CU'!BA9+'C-CU'!BG9</f>
        <v>0</v>
      </c>
      <c r="P10" s="107">
        <f>'C-CU'!BB9+'C-CU'!BH9</f>
        <v>0</v>
      </c>
      <c r="Q10" s="108">
        <f t="shared" ref="Q10:Q21" si="0">IF(R10=0,0,(Durée_maximale_d_évacuation-O10)/Durée_maximale_d_évacuation)</f>
        <v>0</v>
      </c>
      <c r="R10" s="373">
        <f>'C-CU'!BD9+'C-CU'!BJ9</f>
        <v>0</v>
      </c>
      <c r="S10" s="374">
        <f>IF('C-CU'!AZ9="",0,ROUNDDOWN(NMaxSiègeEquipe*(1+(100-Remplissage_du_brin_montant)*0.005),0))</f>
        <v>0</v>
      </c>
      <c r="T10" s="374">
        <f>IF('C-CU'!BF9="",0,ROUNDDOWN(NMaxSiègeEquipe*(1+(100-Remplissage_du_brin_descendant)*0.005),0))</f>
        <v>0</v>
      </c>
      <c r="U10" s="92">
        <f t="shared" ref="U10:U21" si="1">S10+T10</f>
        <v>0</v>
      </c>
      <c r="V10" s="18"/>
      <c r="W10" s="18"/>
      <c r="X10" s="18"/>
      <c r="Y10" s="18"/>
      <c r="Z10" s="18"/>
      <c r="AA10" s="18"/>
    </row>
    <row r="11" spans="1:27" x14ac:dyDescent="0.2">
      <c r="A11" s="34"/>
      <c r="B11" s="95" t="str">
        <f>'     2-DL     '!C11</f>
        <v/>
      </c>
      <c r="C11" s="6" t="str">
        <f>'     2-DL     '!D11</f>
        <v/>
      </c>
      <c r="D11" s="5">
        <f>IF('C-CP'!C9="","",'C-CP'!C9)</f>
        <v>0</v>
      </c>
      <c r="E11" s="18"/>
      <c r="F11" s="372">
        <f>IF('C-CP'!CJ9=0,0,'C-L'!$M$1&amp;" "&amp;'C-CP'!CJ9)</f>
        <v>0</v>
      </c>
      <c r="G11" s="386"/>
      <c r="H11" s="43"/>
      <c r="I11" s="372">
        <f>IF('C-CP'!FO9=0,0,'C-L'!$M$1&amp;" "&amp;'C-CP'!FO9)</f>
        <v>0</v>
      </c>
      <c r="J11" s="386"/>
      <c r="K11" s="18"/>
      <c r="L11" s="93" t="str">
        <f>IF(L10="","",IF('C-CU'!AY10="","",IF('C-CU'!AY10="Brin descendant",'C-L'!$I$1,'C-L'!$M$1&amp;" "&amp;'C-CU'!AY10)))</f>
        <v/>
      </c>
      <c r="M11" s="94" t="str">
        <f>'C-CU'!AZ10&amp;'C-CU'!BF10</f>
        <v/>
      </c>
      <c r="N11" s="154">
        <f>'C-CU'!BC10+'C-CU'!BI10</f>
        <v>0</v>
      </c>
      <c r="O11" s="106">
        <f>'C-CU'!BA10+'C-CU'!BG10</f>
        <v>0</v>
      </c>
      <c r="P11" s="107">
        <f>'C-CU'!BB10+'C-CU'!BH10</f>
        <v>0</v>
      </c>
      <c r="Q11" s="108">
        <f t="shared" si="0"/>
        <v>0</v>
      </c>
      <c r="R11" s="373">
        <f>'C-CU'!BD10+'C-CU'!BJ10</f>
        <v>0</v>
      </c>
      <c r="S11" s="374">
        <f>IF('C-CU'!AZ10="",0,ROUNDDOWN(NMaxSiègeEquipe*(1+(100-Remplissage_du_brin_montant)*0.005),0))</f>
        <v>0</v>
      </c>
      <c r="T11" s="374">
        <f>IF('C-CU'!BF10="",0,ROUNDDOWN(NMaxSiègeEquipe*(1+(100-Remplissage_du_brin_descendant)*0.005),0))</f>
        <v>0</v>
      </c>
      <c r="U11" s="92">
        <f t="shared" si="1"/>
        <v>0</v>
      </c>
      <c r="V11" s="18"/>
      <c r="W11" s="18"/>
      <c r="X11" s="18"/>
      <c r="Y11" s="18"/>
      <c r="Z11" s="18"/>
      <c r="AA11" s="18"/>
    </row>
    <row r="12" spans="1:27" x14ac:dyDescent="0.2">
      <c r="A12" s="34"/>
      <c r="B12" s="95" t="str">
        <f>'     2-DL     '!C12</f>
        <v/>
      </c>
      <c r="C12" s="6" t="str">
        <f>'     2-DL     '!D12</f>
        <v/>
      </c>
      <c r="D12" s="5">
        <f>IF('C-CP'!C10="","",'C-CP'!C10)</f>
        <v>0</v>
      </c>
      <c r="E12" s="18"/>
      <c r="F12" s="372">
        <f>IF('C-CP'!CJ10=0,0,'C-L'!$M$1&amp;" "&amp;'C-CP'!CJ10)</f>
        <v>0</v>
      </c>
      <c r="G12" s="386"/>
      <c r="H12" s="43"/>
      <c r="I12" s="372">
        <f>IF('C-CP'!FO10=0,0,'C-L'!$M$1&amp;" "&amp;'C-CP'!FO10)</f>
        <v>0</v>
      </c>
      <c r="J12" s="386"/>
      <c r="K12" s="18"/>
      <c r="L12" s="93" t="str">
        <f>IF(L11="","",IF('C-CU'!AY11="","",IF('C-CU'!AY11="Brin descendant",'C-L'!$I$1,'C-L'!$M$1&amp;" "&amp;'C-CU'!AY11)))</f>
        <v/>
      </c>
      <c r="M12" s="94" t="str">
        <f>'C-CU'!AZ11&amp;'C-CU'!BF11</f>
        <v/>
      </c>
      <c r="N12" s="154">
        <f>'C-CU'!BC11+'C-CU'!BI11</f>
        <v>0</v>
      </c>
      <c r="O12" s="106">
        <f>'C-CU'!BA11+'C-CU'!BG11</f>
        <v>0</v>
      </c>
      <c r="P12" s="107">
        <f>'C-CU'!BB11+'C-CU'!BH11</f>
        <v>0</v>
      </c>
      <c r="Q12" s="108">
        <f t="shared" si="0"/>
        <v>0</v>
      </c>
      <c r="R12" s="373">
        <f>'C-CU'!BD11+'C-CU'!BJ11</f>
        <v>0</v>
      </c>
      <c r="S12" s="374">
        <f>IF('C-CU'!AZ11="",0,ROUNDDOWN(NMaxSiègeEquipe*(1+(100-Remplissage_du_brin_montant)*0.005),0))</f>
        <v>0</v>
      </c>
      <c r="T12" s="374">
        <f>IF('C-CU'!BF11="",0,ROUNDDOWN(NMaxSiègeEquipe*(1+(100-Remplissage_du_brin_descendant)*0.005),0))</f>
        <v>0</v>
      </c>
      <c r="U12" s="92">
        <f t="shared" si="1"/>
        <v>0</v>
      </c>
      <c r="V12" s="18"/>
      <c r="W12" s="18"/>
      <c r="X12" s="18"/>
      <c r="Y12" s="18"/>
      <c r="Z12" s="18"/>
      <c r="AA12" s="18"/>
    </row>
    <row r="13" spans="1:27" x14ac:dyDescent="0.2">
      <c r="A13" s="34"/>
      <c r="B13" s="95" t="str">
        <f>'     2-DL     '!C13</f>
        <v/>
      </c>
      <c r="C13" s="6" t="str">
        <f>'     2-DL     '!D13</f>
        <v/>
      </c>
      <c r="D13" s="5">
        <f>IF('C-CP'!C11="","",'C-CP'!C11)</f>
        <v>0</v>
      </c>
      <c r="E13" s="18"/>
      <c r="F13" s="372">
        <f>IF('C-CP'!CJ11=0,0,'C-L'!$M$1&amp;" "&amp;'C-CP'!CJ11)</f>
        <v>0</v>
      </c>
      <c r="G13" s="386"/>
      <c r="H13" s="43"/>
      <c r="I13" s="372">
        <f>IF('C-CP'!FO11=0,0,'C-L'!$M$1&amp;" "&amp;'C-CP'!FO11)</f>
        <v>0</v>
      </c>
      <c r="J13" s="386"/>
      <c r="K13" s="18"/>
      <c r="L13" s="93" t="str">
        <f>IF(L12="","",IF('C-CU'!AY12="","",IF('C-CU'!AY12="Brin descendant",'C-L'!$I$1,'C-L'!$M$1&amp;" "&amp;'C-CU'!AY12)))</f>
        <v/>
      </c>
      <c r="M13" s="94" t="str">
        <f>'C-CU'!AZ12&amp;'C-CU'!BF12</f>
        <v/>
      </c>
      <c r="N13" s="154">
        <f>'C-CU'!BC12+'C-CU'!BI12</f>
        <v>0</v>
      </c>
      <c r="O13" s="106">
        <f>'C-CU'!BA12+'C-CU'!BG12</f>
        <v>0</v>
      </c>
      <c r="P13" s="107">
        <f>'C-CU'!BB12+'C-CU'!BH12</f>
        <v>0</v>
      </c>
      <c r="Q13" s="108">
        <f t="shared" si="0"/>
        <v>0</v>
      </c>
      <c r="R13" s="373">
        <f>'C-CU'!BD12+'C-CU'!BJ12</f>
        <v>0</v>
      </c>
      <c r="S13" s="374">
        <f>IF('C-CU'!AZ12="",0,ROUNDDOWN(NMaxSiègeEquipe*(1+(100-Remplissage_du_brin_montant)*0.005),0))</f>
        <v>0</v>
      </c>
      <c r="T13" s="374">
        <f>IF('C-CU'!BF12="",0,ROUNDDOWN(NMaxSiègeEquipe*(1+(100-Remplissage_du_brin_descendant)*0.005),0))</f>
        <v>0</v>
      </c>
      <c r="U13" s="92">
        <f t="shared" si="1"/>
        <v>0</v>
      </c>
      <c r="V13" s="18"/>
      <c r="W13" s="18"/>
      <c r="X13" s="18"/>
      <c r="Y13" s="18"/>
      <c r="Z13" s="18"/>
      <c r="AA13" s="18"/>
    </row>
    <row r="14" spans="1:27" x14ac:dyDescent="0.2">
      <c r="A14" s="34"/>
      <c r="B14" s="95" t="str">
        <f>'     2-DL     '!C14</f>
        <v/>
      </c>
      <c r="C14" s="6" t="str">
        <f>'     2-DL     '!D14</f>
        <v/>
      </c>
      <c r="D14" s="5">
        <f>IF('C-CP'!C12="","",'C-CP'!C12)</f>
        <v>0</v>
      </c>
      <c r="E14" s="18"/>
      <c r="F14" s="372">
        <f>IF('C-CP'!CJ12=0,0,'C-L'!$M$1&amp;" "&amp;'C-CP'!CJ12)</f>
        <v>0</v>
      </c>
      <c r="G14" s="386"/>
      <c r="H14" s="43"/>
      <c r="I14" s="372">
        <f>IF('C-CP'!FO12=0,0,'C-L'!$M$1&amp;" "&amp;'C-CP'!FO12)</f>
        <v>0</v>
      </c>
      <c r="J14" s="386"/>
      <c r="K14" s="18"/>
      <c r="L14" s="93" t="str">
        <f>IF(L13="","",IF('C-CU'!AY13="","",IF('C-CU'!AY13="Brin descendant",'C-L'!$I$1,'C-L'!$M$1&amp;" "&amp;'C-CU'!AY13)))</f>
        <v/>
      </c>
      <c r="M14" s="94" t="str">
        <f>'C-CU'!AZ13&amp;'C-CU'!BF13</f>
        <v/>
      </c>
      <c r="N14" s="154">
        <f>'C-CU'!BC13+'C-CU'!BI13</f>
        <v>0</v>
      </c>
      <c r="O14" s="106">
        <f>'C-CU'!BA13+'C-CU'!BG13</f>
        <v>0</v>
      </c>
      <c r="P14" s="107">
        <f>'C-CU'!BB13+'C-CU'!BH13</f>
        <v>0</v>
      </c>
      <c r="Q14" s="108">
        <f t="shared" si="0"/>
        <v>0</v>
      </c>
      <c r="R14" s="373">
        <f>'C-CU'!BD13+'C-CU'!BJ13</f>
        <v>0</v>
      </c>
      <c r="S14" s="374">
        <f>IF('C-CU'!AZ13="",0,ROUNDDOWN(NMaxSiègeEquipe*(1+(100-Remplissage_du_brin_montant)*0.005),0))</f>
        <v>0</v>
      </c>
      <c r="T14" s="374">
        <f>IF('C-CU'!BF13="",0,ROUNDDOWN(NMaxSiègeEquipe*(1+(100-Remplissage_du_brin_descendant)*0.005),0))</f>
        <v>0</v>
      </c>
      <c r="U14" s="92">
        <f t="shared" si="1"/>
        <v>0</v>
      </c>
      <c r="V14" s="18"/>
      <c r="W14" s="18"/>
      <c r="X14" s="18"/>
      <c r="Y14" s="18"/>
      <c r="Z14" s="18"/>
      <c r="AA14" s="18"/>
    </row>
    <row r="15" spans="1:27" x14ac:dyDescent="0.2">
      <c r="A15" s="34"/>
      <c r="B15" s="95" t="str">
        <f>'     2-DL     '!C15</f>
        <v/>
      </c>
      <c r="C15" s="6" t="str">
        <f>'     2-DL     '!D15</f>
        <v/>
      </c>
      <c r="D15" s="5">
        <f>IF('C-CP'!C13="","",'C-CP'!C13)</f>
        <v>0</v>
      </c>
      <c r="E15" s="18"/>
      <c r="F15" s="372">
        <f>IF('C-CP'!CJ13=0,0,'C-L'!$M$1&amp;" "&amp;'C-CP'!CJ13)</f>
        <v>0</v>
      </c>
      <c r="G15" s="386"/>
      <c r="H15" s="43"/>
      <c r="I15" s="372">
        <f>IF('C-CP'!FO13=0,0,'C-L'!$M$1&amp;" "&amp;'C-CP'!FO13)</f>
        <v>0</v>
      </c>
      <c r="J15" s="386"/>
      <c r="K15" s="18"/>
      <c r="L15" s="93" t="str">
        <f>IF(L14="","",IF('C-CU'!AY14="","",IF('C-CU'!AY14="Brin descendant",'C-L'!$I$1,'C-L'!$M$1&amp;" "&amp;'C-CU'!AY14)))</f>
        <v/>
      </c>
      <c r="M15" s="94" t="str">
        <f>'C-CU'!AZ14&amp;'C-CU'!BF14</f>
        <v/>
      </c>
      <c r="N15" s="154">
        <f>'C-CU'!BC14+'C-CU'!BI14</f>
        <v>0</v>
      </c>
      <c r="O15" s="106">
        <f>'C-CU'!BA14+'C-CU'!BG14</f>
        <v>0</v>
      </c>
      <c r="P15" s="107">
        <f>'C-CU'!BB14+'C-CU'!BH14</f>
        <v>0</v>
      </c>
      <c r="Q15" s="108">
        <f t="shared" si="0"/>
        <v>0</v>
      </c>
      <c r="R15" s="373">
        <f>'C-CU'!BD14+'C-CU'!BJ14</f>
        <v>0</v>
      </c>
      <c r="S15" s="374">
        <f>IF('C-CU'!AZ14="",0,ROUNDDOWN(NMaxSiègeEquipe*(1+(100-Remplissage_du_brin_montant)*0.005),0))</f>
        <v>0</v>
      </c>
      <c r="T15" s="374">
        <f>IF('C-CU'!BF14="",0,ROUNDDOWN(NMaxSiègeEquipe*(1+(100-Remplissage_du_brin_descendant)*0.005),0))</f>
        <v>0</v>
      </c>
      <c r="U15" s="92">
        <f t="shared" si="1"/>
        <v>0</v>
      </c>
      <c r="V15" s="18"/>
      <c r="W15" s="18"/>
      <c r="X15" s="18"/>
      <c r="Y15" s="18"/>
      <c r="Z15" s="18"/>
      <c r="AA15" s="18"/>
    </row>
    <row r="16" spans="1:27" x14ac:dyDescent="0.2">
      <c r="A16" s="34"/>
      <c r="B16" s="95" t="str">
        <f>'     2-DL     '!C16</f>
        <v/>
      </c>
      <c r="C16" s="6" t="str">
        <f>'     2-DL     '!D16</f>
        <v/>
      </c>
      <c r="D16" s="5">
        <f>IF('C-CP'!C14="","",'C-CP'!C14)</f>
        <v>0</v>
      </c>
      <c r="E16" s="18"/>
      <c r="F16" s="372">
        <f>IF('C-CP'!CJ14=0,0,'C-L'!$M$1&amp;" "&amp;'C-CP'!CJ14)</f>
        <v>0</v>
      </c>
      <c r="G16" s="386"/>
      <c r="H16" s="43"/>
      <c r="I16" s="372">
        <f>IF('C-CP'!FO14=0,0,'C-L'!$M$1&amp;" "&amp;'C-CP'!FO14)</f>
        <v>0</v>
      </c>
      <c r="J16" s="386"/>
      <c r="K16" s="18"/>
      <c r="L16" s="93" t="str">
        <f>IF(L15="","",IF('C-CU'!AY15="","",IF('C-CU'!AY15="Brin descendant",'C-L'!$I$1,'C-L'!$M$1&amp;" "&amp;'C-CU'!AY15)))</f>
        <v/>
      </c>
      <c r="M16" s="94" t="str">
        <f>'C-CU'!AZ15&amp;'C-CU'!BF15</f>
        <v/>
      </c>
      <c r="N16" s="154">
        <f>'C-CU'!BC15+'C-CU'!BI15</f>
        <v>0</v>
      </c>
      <c r="O16" s="106">
        <f>'C-CU'!BA15+'C-CU'!BG15</f>
        <v>0</v>
      </c>
      <c r="P16" s="107">
        <f>'C-CU'!BB15+'C-CU'!BH15</f>
        <v>0</v>
      </c>
      <c r="Q16" s="108">
        <f t="shared" si="0"/>
        <v>0</v>
      </c>
      <c r="R16" s="373">
        <f>'C-CU'!BD15+'C-CU'!BJ15</f>
        <v>0</v>
      </c>
      <c r="S16" s="374">
        <f>IF('C-CU'!AZ15="",0,ROUNDDOWN(NMaxSiègeEquipe*(1+(100-Remplissage_du_brin_montant)*0.005),0))</f>
        <v>0</v>
      </c>
      <c r="T16" s="374">
        <f>IF('C-CU'!BF15="",0,ROUNDDOWN(NMaxSiègeEquipe*(1+(100-Remplissage_du_brin_descendant)*0.005),0))</f>
        <v>0</v>
      </c>
      <c r="U16" s="92">
        <f t="shared" si="1"/>
        <v>0</v>
      </c>
      <c r="V16" s="18"/>
      <c r="W16" s="18"/>
      <c r="X16" s="18"/>
      <c r="Y16" s="18"/>
      <c r="Z16" s="18"/>
      <c r="AA16" s="18"/>
    </row>
    <row r="17" spans="1:27" x14ac:dyDescent="0.2">
      <c r="A17" s="34"/>
      <c r="B17" s="95" t="str">
        <f>'     2-DL     '!C17</f>
        <v/>
      </c>
      <c r="C17" s="6" t="str">
        <f>'     2-DL     '!D17</f>
        <v/>
      </c>
      <c r="D17" s="5">
        <f>IF('C-CP'!C15="","",'C-CP'!C15)</f>
        <v>0</v>
      </c>
      <c r="E17" s="18"/>
      <c r="F17" s="372">
        <f>IF('C-CP'!CJ15=0,0,'C-L'!$M$1&amp;" "&amp;'C-CP'!CJ15)</f>
        <v>0</v>
      </c>
      <c r="G17" s="386"/>
      <c r="H17" s="43"/>
      <c r="I17" s="372">
        <f>IF('C-CP'!FO15=0,0,'C-L'!$M$1&amp;" "&amp;'C-CP'!FO15)</f>
        <v>0</v>
      </c>
      <c r="J17" s="386"/>
      <c r="K17" s="18"/>
      <c r="L17" s="93" t="str">
        <f>IF(L16="","",IF('C-CU'!AY16="","",IF('C-CU'!AY16="Brin descendant",'C-L'!$I$1,'C-L'!$M$1&amp;" "&amp;'C-CU'!AY16)))</f>
        <v/>
      </c>
      <c r="M17" s="94" t="str">
        <f>'C-CU'!AZ16&amp;'C-CU'!BF16</f>
        <v/>
      </c>
      <c r="N17" s="154">
        <f>'C-CU'!BC16+'C-CU'!BI16</f>
        <v>0</v>
      </c>
      <c r="O17" s="106">
        <f>'C-CU'!BA16+'C-CU'!BG16</f>
        <v>0</v>
      </c>
      <c r="P17" s="107">
        <f>'C-CU'!BB16+'C-CU'!BH16</f>
        <v>0</v>
      </c>
      <c r="Q17" s="108">
        <f t="shared" si="0"/>
        <v>0</v>
      </c>
      <c r="R17" s="373">
        <f>'C-CU'!BD16+'C-CU'!BJ16</f>
        <v>0</v>
      </c>
      <c r="S17" s="374">
        <f>IF('C-CU'!AZ16="",0,ROUNDDOWN(NMaxSiègeEquipe*(1+(100-Remplissage_du_brin_montant)*0.005),0))</f>
        <v>0</v>
      </c>
      <c r="T17" s="374">
        <f>IF('C-CU'!BF16="",0,ROUNDDOWN(NMaxSiègeEquipe*(1+(100-Remplissage_du_brin_descendant)*0.005),0))</f>
        <v>0</v>
      </c>
      <c r="U17" s="92">
        <f t="shared" si="1"/>
        <v>0</v>
      </c>
      <c r="V17" s="18"/>
      <c r="W17" s="18"/>
      <c r="X17" s="18"/>
      <c r="Y17" s="18"/>
      <c r="Z17" s="18"/>
      <c r="AA17" s="18"/>
    </row>
    <row r="18" spans="1:27" x14ac:dyDescent="0.2">
      <c r="A18" s="34"/>
      <c r="B18" s="95" t="str">
        <f>'     2-DL     '!C18</f>
        <v/>
      </c>
      <c r="C18" s="6" t="str">
        <f>'     2-DL     '!D18</f>
        <v/>
      </c>
      <c r="D18" s="5">
        <f>IF('C-CP'!C16="","",'C-CP'!C16)</f>
        <v>0</v>
      </c>
      <c r="E18" s="18"/>
      <c r="F18" s="372">
        <f>IF('C-CP'!CJ16=0,0,'C-L'!$M$1&amp;" "&amp;'C-CP'!CJ16)</f>
        <v>0</v>
      </c>
      <c r="G18" s="386"/>
      <c r="H18" s="43"/>
      <c r="I18" s="372">
        <f>IF('C-CP'!FO16=0,0,'C-L'!$M$1&amp;" "&amp;'C-CP'!FO16)</f>
        <v>0</v>
      </c>
      <c r="J18" s="386"/>
      <c r="K18" s="18"/>
      <c r="L18" s="93" t="str">
        <f>IF(L17="","",IF('C-CU'!AY17="","",IF('C-CU'!AY17="Brin descendant",'C-L'!$I$1,'C-L'!$M$1&amp;" "&amp;'C-CU'!AY17)))</f>
        <v/>
      </c>
      <c r="M18" s="94" t="str">
        <f>'C-CU'!AZ17&amp;'C-CU'!BF17</f>
        <v/>
      </c>
      <c r="N18" s="154">
        <f>'C-CU'!BC17+'C-CU'!BI17</f>
        <v>0</v>
      </c>
      <c r="O18" s="106">
        <f>'C-CU'!BA17+'C-CU'!BG17</f>
        <v>0</v>
      </c>
      <c r="P18" s="107">
        <f>'C-CU'!BB17+'C-CU'!BH17</f>
        <v>0</v>
      </c>
      <c r="Q18" s="108">
        <f t="shared" si="0"/>
        <v>0</v>
      </c>
      <c r="R18" s="373">
        <f>'C-CU'!BD17+'C-CU'!BJ17</f>
        <v>0</v>
      </c>
      <c r="S18" s="374">
        <f>IF('C-CU'!AZ17="",0,ROUNDDOWN(NMaxSiègeEquipe*(1+(100-Remplissage_du_brin_montant)*0.005),0))</f>
        <v>0</v>
      </c>
      <c r="T18" s="374">
        <f>IF('C-CU'!BF17="",0,ROUNDDOWN(NMaxSiègeEquipe*(1+(100-Remplissage_du_brin_descendant)*0.005),0))</f>
        <v>0</v>
      </c>
      <c r="U18" s="92">
        <f t="shared" si="1"/>
        <v>0</v>
      </c>
      <c r="V18" s="18"/>
      <c r="W18" s="18"/>
      <c r="X18" s="18"/>
      <c r="Y18" s="18"/>
      <c r="Z18" s="18"/>
      <c r="AA18" s="18"/>
    </row>
    <row r="19" spans="1:27" x14ac:dyDescent="0.2">
      <c r="A19" s="34"/>
      <c r="B19" s="95" t="str">
        <f>'     2-DL     '!C19</f>
        <v/>
      </c>
      <c r="C19" s="6" t="str">
        <f>'     2-DL     '!D19</f>
        <v/>
      </c>
      <c r="D19" s="5">
        <f>IF('C-CP'!C17="","",'C-CP'!C17)</f>
        <v>0</v>
      </c>
      <c r="E19" s="18"/>
      <c r="F19" s="372">
        <f>IF('C-CP'!CJ17=0,0,'C-L'!$M$1&amp;" "&amp;'C-CP'!CJ17)</f>
        <v>0</v>
      </c>
      <c r="G19" s="386"/>
      <c r="H19" s="43"/>
      <c r="I19" s="372">
        <f>IF('C-CP'!FO17=0,0,'C-L'!$M$1&amp;" "&amp;'C-CP'!FO17)</f>
        <v>0</v>
      </c>
      <c r="J19" s="386"/>
      <c r="K19" s="18"/>
      <c r="L19" s="93" t="str">
        <f>IF(L18="","",IF('C-CU'!AY18="","",IF('C-CU'!AY18="Brin descendant",'C-L'!$I$1,'C-L'!$M$1&amp;" "&amp;'C-CU'!AY18)))</f>
        <v/>
      </c>
      <c r="M19" s="94" t="str">
        <f>'C-CU'!AZ18&amp;'C-CU'!BF18</f>
        <v/>
      </c>
      <c r="N19" s="154">
        <f>'C-CU'!BC18+'C-CU'!BI18</f>
        <v>0</v>
      </c>
      <c r="O19" s="106">
        <f>'C-CU'!BA18+'C-CU'!BG18</f>
        <v>0</v>
      </c>
      <c r="P19" s="107">
        <f>'C-CU'!BB18+'C-CU'!BH18</f>
        <v>0</v>
      </c>
      <c r="Q19" s="108">
        <f t="shared" si="0"/>
        <v>0</v>
      </c>
      <c r="R19" s="109">
        <f>'C-CU'!BD18+'C-CU'!BJ18</f>
        <v>0</v>
      </c>
      <c r="S19" s="92">
        <f>IF('C-CU'!AZ18="",0,ROUNDDOWN(NMaxSiègeEquipe*(1+(100-Remplissage_du_brin_montant)*0.005),0))</f>
        <v>0</v>
      </c>
      <c r="T19" s="374">
        <f>IF('C-CU'!BF18="",0,ROUNDDOWN(NMaxSiègeEquipe*(1+(100-Remplissage_du_brin_descendant)*0.005),0))</f>
        <v>0</v>
      </c>
      <c r="U19" s="92">
        <f t="shared" si="1"/>
        <v>0</v>
      </c>
      <c r="V19" s="18"/>
      <c r="W19" s="18"/>
      <c r="X19" s="18"/>
      <c r="Y19" s="18"/>
      <c r="Z19" s="18"/>
      <c r="AA19" s="18"/>
    </row>
    <row r="20" spans="1:27" x14ac:dyDescent="0.2">
      <c r="A20" s="34"/>
      <c r="B20" s="95" t="str">
        <f>'     2-DL     '!C20</f>
        <v/>
      </c>
      <c r="C20" s="6" t="str">
        <f>'     2-DL     '!D20</f>
        <v/>
      </c>
      <c r="D20" s="5">
        <f>IF('C-CP'!C18="","",'C-CP'!C18)</f>
        <v>0</v>
      </c>
      <c r="E20" s="18"/>
      <c r="F20" s="372">
        <f>IF('C-CP'!CJ18=0,0,'C-L'!$M$1&amp;" "&amp;'C-CP'!CJ18)</f>
        <v>0</v>
      </c>
      <c r="G20" s="386"/>
      <c r="H20" s="43"/>
      <c r="I20" s="372">
        <f>IF('C-CP'!FO18=0,0,'C-L'!$M$1&amp;" "&amp;'C-CP'!FO18)</f>
        <v>0</v>
      </c>
      <c r="J20" s="386"/>
      <c r="K20" s="18"/>
      <c r="L20" s="93" t="str">
        <f>IF(L19="","",IF('C-CU'!AY19="","",IF('C-CU'!AY19="Brin descendant",'C-L'!$I$1,'C-L'!$M$1&amp;" "&amp;'C-CU'!AY19)))</f>
        <v/>
      </c>
      <c r="M20" s="94" t="str">
        <f>'C-CU'!AZ19&amp;'C-CU'!BF19</f>
        <v/>
      </c>
      <c r="N20" s="154">
        <f>'C-CU'!BC19+'C-CU'!BI19</f>
        <v>0</v>
      </c>
      <c r="O20" s="106">
        <f>'C-CU'!BA19+'C-CU'!BG19</f>
        <v>0</v>
      </c>
      <c r="P20" s="107">
        <f>'C-CU'!BB19+'C-CU'!BH19</f>
        <v>0</v>
      </c>
      <c r="Q20" s="108">
        <f t="shared" si="0"/>
        <v>0</v>
      </c>
      <c r="R20" s="109">
        <f>'C-CU'!BD19+'C-CU'!BJ19</f>
        <v>0</v>
      </c>
      <c r="S20" s="92">
        <f>IF('C-CU'!AZ19="",0,ROUNDDOWN(NMaxSiègeEquipe*(1+(100-Remplissage_du_brin_montant)*0.005),0))</f>
        <v>0</v>
      </c>
      <c r="T20" s="374">
        <f>IF('C-CU'!BF19="",0,ROUNDDOWN(NMaxSiègeEquipe*(1+(100-Remplissage_du_brin_descendant)*0.005),0))</f>
        <v>0</v>
      </c>
      <c r="U20" s="92">
        <f t="shared" si="1"/>
        <v>0</v>
      </c>
      <c r="V20" s="18"/>
      <c r="W20" s="18"/>
      <c r="X20" s="18"/>
      <c r="Y20" s="18"/>
      <c r="Z20" s="18"/>
      <c r="AA20" s="18"/>
    </row>
    <row r="21" spans="1:27" x14ac:dyDescent="0.2">
      <c r="A21" s="34"/>
      <c r="B21" s="95" t="str">
        <f>'     2-DL     '!C21</f>
        <v/>
      </c>
      <c r="C21" s="6" t="str">
        <f>'     2-DL     '!D21</f>
        <v/>
      </c>
      <c r="D21" s="5">
        <f>IF('C-CP'!C19="","",'C-CP'!C19)</f>
        <v>0</v>
      </c>
      <c r="E21" s="18"/>
      <c r="F21" s="372">
        <f>IF('C-CP'!CJ19=0,0,'C-L'!$M$1&amp;" "&amp;'C-CP'!CJ19)</f>
        <v>0</v>
      </c>
      <c r="G21" s="386"/>
      <c r="H21" s="43"/>
      <c r="I21" s="372">
        <f>IF('C-CP'!FO19=0,0,'C-L'!$M$1&amp;" "&amp;'C-CP'!FO19)</f>
        <v>0</v>
      </c>
      <c r="J21" s="386"/>
      <c r="K21" s="18"/>
      <c r="L21" s="93" t="str">
        <f>IF(L20="","",IF('C-CU'!AY20="","",IF('C-CU'!AY20="Brin descendant",'C-L'!$I$1,'C-L'!$M$1&amp;" "&amp;'C-CU'!AY20)))</f>
        <v/>
      </c>
      <c r="M21" s="94" t="str">
        <f>'C-CU'!AZ20&amp;'C-CU'!BF20</f>
        <v/>
      </c>
      <c r="N21" s="154">
        <f>'C-CU'!BC20+'C-CU'!BI20</f>
        <v>0</v>
      </c>
      <c r="O21" s="106">
        <f>'C-CU'!BA20+'C-CU'!BG20</f>
        <v>0</v>
      </c>
      <c r="P21" s="107">
        <f>'C-CU'!BB20+'C-CU'!BH20</f>
        <v>0</v>
      </c>
      <c r="Q21" s="108">
        <f t="shared" si="0"/>
        <v>0</v>
      </c>
      <c r="R21" s="109">
        <f>'C-CU'!BD20+'C-CU'!BJ20</f>
        <v>0</v>
      </c>
      <c r="S21" s="92">
        <f>IF('C-CU'!AZ20="",0,ROUNDDOWN(NMaxSiègeEquipe*(1+(100-Remplissage_du_brin_montant)*0.005),0))</f>
        <v>0</v>
      </c>
      <c r="T21" s="374">
        <f>IF('C-CU'!BF20="",0,ROUNDDOWN(NMaxSiègeEquipe*(1+(100-Remplissage_du_brin_descendant)*0.005),0))</f>
        <v>0</v>
      </c>
      <c r="U21" s="92">
        <f t="shared" si="1"/>
        <v>0</v>
      </c>
      <c r="V21" s="18"/>
      <c r="W21" s="18"/>
      <c r="X21" s="18"/>
      <c r="Y21" s="18"/>
      <c r="Z21" s="18"/>
      <c r="AA21" s="18"/>
    </row>
    <row r="22" spans="1:27" ht="12.75" customHeight="1" x14ac:dyDescent="0.2">
      <c r="A22" s="34"/>
      <c r="B22" s="95" t="str">
        <f>'     2-DL     '!C22</f>
        <v/>
      </c>
      <c r="C22" s="6" t="str">
        <f>'     2-DL     '!D22</f>
        <v/>
      </c>
      <c r="D22" s="5">
        <f>IF('C-CP'!C20="","",'C-CP'!C20)</f>
        <v>0</v>
      </c>
      <c r="E22" s="18"/>
      <c r="F22" s="372">
        <f>IF('C-CP'!CJ20=0,0,'C-L'!$M$1&amp;" "&amp;'C-CP'!CJ20)</f>
        <v>0</v>
      </c>
      <c r="G22" s="386"/>
      <c r="H22" s="43"/>
      <c r="I22" s="372">
        <f>IF('C-CP'!FO20=0,0,'C-L'!$M$1&amp;" "&amp;'C-CP'!FO20)</f>
        <v>0</v>
      </c>
      <c r="J22" s="386"/>
      <c r="K22" s="18"/>
      <c r="L22" s="89"/>
      <c r="M22" s="89"/>
      <c r="N22" s="84"/>
      <c r="O22" s="84"/>
      <c r="P22" s="85"/>
      <c r="Q22" s="86"/>
      <c r="R22" s="87"/>
      <c r="S22" s="367"/>
      <c r="T22" s="367"/>
      <c r="U22" s="18"/>
      <c r="V22" s="18"/>
      <c r="W22" s="18"/>
      <c r="X22" s="18"/>
      <c r="Y22" s="18"/>
      <c r="Z22" s="18"/>
      <c r="AA22" s="18"/>
    </row>
    <row r="23" spans="1:27" x14ac:dyDescent="0.2">
      <c r="A23" s="34"/>
      <c r="B23" s="95" t="str">
        <f>'     2-DL     '!C23</f>
        <v/>
      </c>
      <c r="C23" s="6" t="str">
        <f>'     2-DL     '!D23</f>
        <v/>
      </c>
      <c r="D23" s="5">
        <f>IF('C-CP'!C21="","",'C-CP'!C21)</f>
        <v>0</v>
      </c>
      <c r="E23" s="18"/>
      <c r="F23" s="372">
        <f>IF('C-CP'!CJ21=0,0,'C-L'!$M$1&amp;" "&amp;'C-CP'!CJ21)</f>
        <v>0</v>
      </c>
      <c r="G23" s="386"/>
      <c r="H23" s="43"/>
      <c r="I23" s="372">
        <f>IF('C-CP'!FO21=0,0,'C-L'!$M$1&amp;" "&amp;'C-CP'!FO21)</f>
        <v>0</v>
      </c>
      <c r="J23" s="386"/>
      <c r="K23" s="18"/>
      <c r="L23" s="89"/>
      <c r="M23" s="89"/>
      <c r="N23" s="84"/>
      <c r="O23" s="84"/>
      <c r="P23" s="85"/>
      <c r="Q23" s="86"/>
      <c r="R23" s="87"/>
      <c r="S23" s="368"/>
      <c r="T23" s="368"/>
      <c r="U23" s="18"/>
      <c r="V23" s="18"/>
      <c r="W23" s="18"/>
      <c r="X23" s="18"/>
      <c r="Y23" s="18"/>
      <c r="Z23" s="18"/>
      <c r="AA23" s="18"/>
    </row>
    <row r="24" spans="1:27" ht="12.75" customHeight="1" x14ac:dyDescent="0.2">
      <c r="A24" s="34"/>
      <c r="B24" s="95" t="str">
        <f>'     2-DL     '!C24</f>
        <v/>
      </c>
      <c r="C24" s="6" t="str">
        <f>'     2-DL     '!D24</f>
        <v/>
      </c>
      <c r="D24" s="5">
        <f>IF('C-CP'!C22="","",'C-CP'!C22)</f>
        <v>0</v>
      </c>
      <c r="E24" s="18"/>
      <c r="F24" s="372">
        <f>IF('C-CP'!CJ22=0,0,'C-L'!$M$1&amp;" "&amp;'C-CP'!CJ22)</f>
        <v>0</v>
      </c>
      <c r="G24" s="386"/>
      <c r="H24" s="43"/>
      <c r="I24" s="372">
        <f>IF('C-CP'!FO22=0,0,'C-L'!$M$1&amp;" "&amp;'C-CP'!FO22)</f>
        <v>0</v>
      </c>
      <c r="J24" s="386"/>
      <c r="K24" s="18"/>
      <c r="L24" s="43"/>
      <c r="M24" s="33"/>
      <c r="N24" s="33"/>
      <c r="O24" s="33"/>
      <c r="P24" s="33"/>
      <c r="Q24" s="33"/>
      <c r="R24" s="18"/>
      <c r="S24" s="99"/>
      <c r="T24" s="99"/>
      <c r="U24" s="18"/>
      <c r="V24" s="18"/>
      <c r="W24" s="18"/>
      <c r="X24" s="18"/>
      <c r="Y24" s="18"/>
      <c r="Z24" s="18"/>
      <c r="AA24" s="18"/>
    </row>
    <row r="25" spans="1:27" x14ac:dyDescent="0.2">
      <c r="A25" s="34"/>
      <c r="B25" s="95" t="str">
        <f>'     2-DL     '!C25</f>
        <v/>
      </c>
      <c r="C25" s="6" t="str">
        <f>'     2-DL     '!D25</f>
        <v/>
      </c>
      <c r="D25" s="5">
        <f>IF('C-CP'!C23="","",'C-CP'!C23)</f>
        <v>0</v>
      </c>
      <c r="E25" s="18"/>
      <c r="F25" s="372">
        <f>IF('C-CP'!CJ23=0,0,'C-L'!$M$1&amp;" "&amp;'C-CP'!CJ23)</f>
        <v>0</v>
      </c>
      <c r="G25" s="386"/>
      <c r="H25" s="43"/>
      <c r="I25" s="372">
        <f>IF('C-CP'!FO23=0,0,'C-L'!$M$1&amp;" "&amp;'C-CP'!FO23)</f>
        <v>0</v>
      </c>
      <c r="J25" s="386"/>
      <c r="K25" s="18"/>
      <c r="L25" s="43"/>
      <c r="M25" s="33"/>
      <c r="N25" s="33"/>
      <c r="O25" s="33"/>
      <c r="P25" s="33"/>
      <c r="Q25" s="33"/>
      <c r="R25" s="18"/>
      <c r="S25" s="99"/>
      <c r="T25" s="99"/>
      <c r="U25" s="18"/>
      <c r="V25" s="18"/>
      <c r="W25" s="18"/>
      <c r="X25" s="18"/>
      <c r="Y25" s="18"/>
      <c r="Z25" s="18"/>
      <c r="AA25" s="18"/>
    </row>
    <row r="26" spans="1:27" x14ac:dyDescent="0.2">
      <c r="A26" s="34"/>
      <c r="B26" s="95" t="str">
        <f>'     2-DL     '!C26</f>
        <v/>
      </c>
      <c r="C26" s="6" t="str">
        <f>'     2-DL     '!D26</f>
        <v/>
      </c>
      <c r="D26" s="5">
        <f>IF('C-CP'!C24="","",'C-CP'!C24)</f>
        <v>0</v>
      </c>
      <c r="E26" s="18"/>
      <c r="F26" s="372">
        <f>IF('C-CP'!CJ24=0,0,'C-L'!$M$1&amp;" "&amp;'C-CP'!CJ24)</f>
        <v>0</v>
      </c>
      <c r="G26" s="386"/>
      <c r="H26" s="43"/>
      <c r="I26" s="372">
        <f>IF('C-CP'!FO24=0,0,'C-L'!$M$1&amp;" "&amp;'C-CP'!FO24)</f>
        <v>0</v>
      </c>
      <c r="J26" s="386"/>
      <c r="K26" s="18"/>
      <c r="L26" s="18"/>
      <c r="M26" s="18"/>
      <c r="N26" s="44"/>
      <c r="O26" s="44"/>
      <c r="P26" s="18"/>
      <c r="Q26" s="18"/>
      <c r="R26" s="18"/>
      <c r="S26" s="88"/>
      <c r="T26" s="88"/>
      <c r="U26" s="18"/>
      <c r="V26" s="18"/>
      <c r="W26" s="18"/>
      <c r="X26" s="18"/>
      <c r="Y26" s="18"/>
      <c r="Z26" s="18"/>
      <c r="AA26" s="18"/>
    </row>
    <row r="27" spans="1:27" ht="12.75" customHeight="1" x14ac:dyDescent="0.2">
      <c r="A27" s="34"/>
      <c r="B27" s="95" t="str">
        <f>'     2-DL     '!C27</f>
        <v/>
      </c>
      <c r="C27" s="6" t="str">
        <f>'     2-DL     '!D27</f>
        <v/>
      </c>
      <c r="D27" s="5">
        <f>IF('C-CP'!C25="","",'C-CP'!C25)</f>
        <v>0</v>
      </c>
      <c r="E27" s="18"/>
      <c r="F27" s="372">
        <f>IF('C-CP'!CJ25=0,0,'C-L'!$M$1&amp;" "&amp;'C-CP'!CJ25)</f>
        <v>0</v>
      </c>
      <c r="G27" s="386"/>
      <c r="H27" s="43"/>
      <c r="I27" s="372">
        <f>IF('C-CP'!FO25=0,0,'C-L'!$M$1&amp;" "&amp;'C-CP'!FO25)</f>
        <v>0</v>
      </c>
      <c r="J27" s="386"/>
      <c r="K27" s="18"/>
      <c r="L27" s="18"/>
      <c r="M27" s="18"/>
      <c r="N27" s="44"/>
      <c r="O27" s="44"/>
      <c r="P27" s="18"/>
      <c r="Q27" s="18"/>
      <c r="R27" s="18"/>
      <c r="S27" s="88"/>
      <c r="T27" s="88"/>
      <c r="U27" s="18"/>
      <c r="V27" s="18"/>
      <c r="W27" s="18"/>
      <c r="X27" s="18"/>
      <c r="Y27" s="18"/>
      <c r="Z27" s="18"/>
      <c r="AA27" s="18"/>
    </row>
    <row r="28" spans="1:27" x14ac:dyDescent="0.2">
      <c r="A28" s="34"/>
      <c r="B28" s="95" t="str">
        <f>'     2-DL     '!C28</f>
        <v/>
      </c>
      <c r="C28" s="6" t="str">
        <f>'     2-DL     '!D28</f>
        <v/>
      </c>
      <c r="D28" s="5">
        <f>IF('C-CP'!C26="","",'C-CP'!C26)</f>
        <v>0</v>
      </c>
      <c r="E28" s="18"/>
      <c r="F28" s="372">
        <f>IF('C-CP'!CJ26=0,0,'C-L'!$M$1&amp;" "&amp;'C-CP'!CJ26)</f>
        <v>0</v>
      </c>
      <c r="G28" s="386"/>
      <c r="H28" s="43"/>
      <c r="I28" s="372">
        <f>IF('C-CP'!FO26=0,0,'C-L'!$M$1&amp;" "&amp;'C-CP'!FO26)</f>
        <v>0</v>
      </c>
      <c r="J28" s="386"/>
      <c r="K28" s="18"/>
      <c r="L28" s="18"/>
      <c r="M28" s="18"/>
      <c r="N28" s="44"/>
      <c r="O28" s="44"/>
      <c r="P28" s="18"/>
      <c r="Q28" s="18"/>
      <c r="R28" s="18"/>
      <c r="S28" s="18"/>
      <c r="T28" s="18"/>
      <c r="U28" s="18"/>
      <c r="V28" s="18"/>
      <c r="W28" s="18"/>
      <c r="X28" s="18"/>
      <c r="Y28" s="18"/>
      <c r="Z28" s="18"/>
      <c r="AA28" s="18"/>
    </row>
    <row r="29" spans="1:27" x14ac:dyDescent="0.2">
      <c r="A29" s="34"/>
      <c r="B29" s="95" t="str">
        <f>'     2-DL     '!C29</f>
        <v/>
      </c>
      <c r="C29" s="6" t="str">
        <f>'     2-DL     '!D29</f>
        <v/>
      </c>
      <c r="D29" s="5">
        <f>IF('C-CP'!C27="","",'C-CP'!C27)</f>
        <v>0</v>
      </c>
      <c r="E29" s="18"/>
      <c r="F29" s="372">
        <f>IF('C-CP'!CJ27=0,0,'C-L'!$M$1&amp;" "&amp;'C-CP'!CJ27)</f>
        <v>0</v>
      </c>
      <c r="G29" s="386"/>
      <c r="H29" s="43"/>
      <c r="I29" s="372">
        <f>IF('C-CP'!FO27=0,0,'C-L'!$M$1&amp;" "&amp;'C-CP'!FO27)</f>
        <v>0</v>
      </c>
      <c r="J29" s="386"/>
      <c r="K29" s="18"/>
      <c r="L29" s="18"/>
      <c r="M29" s="18"/>
      <c r="N29" s="44"/>
      <c r="O29" s="44"/>
      <c r="P29" s="18"/>
      <c r="Q29" s="18"/>
      <c r="R29" s="18"/>
      <c r="S29" s="18"/>
      <c r="T29" s="18"/>
      <c r="U29" s="18"/>
      <c r="V29" s="18"/>
      <c r="W29" s="18"/>
      <c r="X29" s="18"/>
      <c r="Y29" s="18"/>
      <c r="Z29" s="18"/>
      <c r="AA29" s="18"/>
    </row>
    <row r="30" spans="1:27" x14ac:dyDescent="0.2">
      <c r="A30" s="34"/>
      <c r="B30" s="95" t="str">
        <f>'     2-DL     '!C30</f>
        <v/>
      </c>
      <c r="C30" s="6" t="str">
        <f>'     2-DL     '!D30</f>
        <v/>
      </c>
      <c r="D30" s="5">
        <f>IF('C-CP'!C28="","",'C-CP'!C28)</f>
        <v>0</v>
      </c>
      <c r="E30" s="18"/>
      <c r="F30" s="372">
        <f>IF('C-CP'!CJ28=0,0,'C-L'!$M$1&amp;" "&amp;'C-CP'!CJ28)</f>
        <v>0</v>
      </c>
      <c r="G30" s="386"/>
      <c r="H30" s="43"/>
      <c r="I30" s="372">
        <f>IF('C-CP'!FO28=0,0,'C-L'!$M$1&amp;" "&amp;'C-CP'!FO28)</f>
        <v>0</v>
      </c>
      <c r="J30" s="386"/>
      <c r="K30" s="18"/>
      <c r="L30" s="18"/>
      <c r="M30" s="18"/>
      <c r="N30" s="44"/>
      <c r="O30" s="44"/>
      <c r="P30" s="18"/>
      <c r="Q30" s="18"/>
      <c r="R30" s="18"/>
      <c r="S30" s="18"/>
      <c r="T30" s="18"/>
      <c r="U30" s="18"/>
      <c r="V30" s="18"/>
      <c r="W30" s="18"/>
      <c r="X30" s="18"/>
      <c r="Y30" s="18"/>
      <c r="Z30" s="18"/>
      <c r="AA30" s="18"/>
    </row>
    <row r="31" spans="1:27" x14ac:dyDescent="0.2">
      <c r="A31" s="34"/>
      <c r="B31" s="95" t="str">
        <f>'     2-DL     '!C31</f>
        <v/>
      </c>
      <c r="C31" s="6" t="str">
        <f>'     2-DL     '!D31</f>
        <v/>
      </c>
      <c r="D31" s="5">
        <f>IF('C-CP'!C29="","",'C-CP'!C29)</f>
        <v>0</v>
      </c>
      <c r="E31" s="18"/>
      <c r="F31" s="372">
        <f>IF('C-CP'!CJ29=0,0,'C-L'!$M$1&amp;" "&amp;'C-CP'!CJ29)</f>
        <v>0</v>
      </c>
      <c r="G31" s="386"/>
      <c r="H31" s="43"/>
      <c r="I31" s="372">
        <f>IF('C-CP'!FO29=0,0,'C-L'!$M$1&amp;" "&amp;'C-CP'!FO29)</f>
        <v>0</v>
      </c>
      <c r="J31" s="386"/>
      <c r="K31" s="18"/>
      <c r="L31" s="18"/>
      <c r="M31" s="18"/>
      <c r="N31" s="18"/>
      <c r="O31" s="18"/>
      <c r="P31" s="18"/>
      <c r="Q31" s="18"/>
      <c r="R31" s="18"/>
      <c r="S31" s="18"/>
      <c r="T31" s="18"/>
      <c r="U31" s="18"/>
      <c r="V31" s="18"/>
      <c r="W31" s="18"/>
      <c r="X31" s="18"/>
      <c r="Y31" s="18"/>
      <c r="Z31" s="18"/>
      <c r="AA31" s="18"/>
    </row>
    <row r="32" spans="1:27" x14ac:dyDescent="0.2">
      <c r="A32" s="34"/>
      <c r="B32" s="95" t="str">
        <f>'     2-DL     '!C32</f>
        <v/>
      </c>
      <c r="C32" s="6" t="str">
        <f>'     2-DL     '!D32</f>
        <v/>
      </c>
      <c r="D32" s="5">
        <f>IF('C-CP'!C30="","",'C-CP'!C30)</f>
        <v>0</v>
      </c>
      <c r="E32" s="18"/>
      <c r="F32" s="372">
        <f>IF('C-CP'!CJ30=0,0,'C-L'!$M$1&amp;" "&amp;'C-CP'!CJ30)</f>
        <v>0</v>
      </c>
      <c r="G32" s="386"/>
      <c r="H32" s="43"/>
      <c r="I32" s="372">
        <f>IF('C-CP'!FO30=0,0,'C-L'!$M$1&amp;" "&amp;'C-CP'!FO30)</f>
        <v>0</v>
      </c>
      <c r="J32" s="386"/>
      <c r="K32" s="18"/>
      <c r="L32" s="43"/>
      <c r="M32" s="43"/>
      <c r="N32" s="18"/>
      <c r="O32" s="18"/>
      <c r="P32" s="18"/>
      <c r="Q32" s="18"/>
      <c r="R32" s="18"/>
      <c r="S32" s="18"/>
      <c r="T32" s="18"/>
      <c r="U32" s="18"/>
      <c r="V32" s="18"/>
      <c r="W32" s="18"/>
      <c r="X32" s="18"/>
      <c r="Y32" s="18"/>
      <c r="Z32" s="18"/>
      <c r="AA32" s="18"/>
    </row>
    <row r="33" spans="1:27" x14ac:dyDescent="0.2">
      <c r="A33" s="34"/>
      <c r="B33" s="95" t="str">
        <f>'     2-DL     '!C33</f>
        <v/>
      </c>
      <c r="C33" s="6" t="str">
        <f>'     2-DL     '!D33</f>
        <v/>
      </c>
      <c r="D33" s="5">
        <f>IF('C-CP'!C31="","",'C-CP'!C31)</f>
        <v>0</v>
      </c>
      <c r="E33" s="18"/>
      <c r="F33" s="372">
        <f>IF('C-CP'!CJ31=0,0,'C-L'!$M$1&amp;" "&amp;'C-CP'!CJ31)</f>
        <v>0</v>
      </c>
      <c r="G33" s="386"/>
      <c r="H33" s="43"/>
      <c r="I33" s="372">
        <f>IF('C-CP'!FO31=0,0,'C-L'!$M$1&amp;" "&amp;'C-CP'!FO31)</f>
        <v>0</v>
      </c>
      <c r="J33" s="386"/>
      <c r="K33" s="18"/>
      <c r="L33" s="43"/>
      <c r="M33" s="43"/>
      <c r="N33" s="18"/>
      <c r="O33" s="18"/>
      <c r="P33" s="18"/>
      <c r="Q33" s="18"/>
      <c r="R33" s="18"/>
      <c r="S33" s="18"/>
      <c r="T33" s="18"/>
      <c r="U33" s="18"/>
      <c r="V33" s="18"/>
      <c r="W33" s="18"/>
      <c r="X33" s="18"/>
      <c r="Y33" s="18"/>
      <c r="Z33" s="18"/>
      <c r="AA33" s="18"/>
    </row>
    <row r="34" spans="1:27" x14ac:dyDescent="0.2">
      <c r="A34" s="34"/>
      <c r="B34" s="198" t="str">
        <f>'     2-DL     '!C34</f>
        <v/>
      </c>
      <c r="C34" s="34"/>
      <c r="D34" s="5"/>
      <c r="E34" s="18"/>
      <c r="F34" s="199"/>
      <c r="G34" s="199"/>
      <c r="H34" s="18"/>
      <c r="I34" s="199"/>
      <c r="J34" s="199"/>
      <c r="K34" s="18"/>
      <c r="L34" s="43"/>
      <c r="M34" s="43"/>
      <c r="N34" s="18"/>
      <c r="O34" s="18"/>
      <c r="P34" s="18"/>
      <c r="Q34" s="18"/>
      <c r="R34" s="18"/>
      <c r="S34" s="18"/>
      <c r="T34" s="18"/>
      <c r="U34" s="18"/>
      <c r="V34" s="18"/>
      <c r="W34" s="18"/>
      <c r="X34" s="18"/>
      <c r="Y34" s="18"/>
      <c r="Z34" s="18"/>
      <c r="AA34" s="18"/>
    </row>
    <row r="35" spans="1:27" x14ac:dyDescent="0.2">
      <c r="A35" s="34"/>
      <c r="B35" s="112"/>
      <c r="C35" s="34"/>
      <c r="D35" s="97"/>
      <c r="E35" s="18"/>
      <c r="F35" s="43"/>
      <c r="G35" s="43"/>
      <c r="H35" s="18"/>
      <c r="I35" s="112"/>
      <c r="J35" s="112"/>
      <c r="K35" s="18"/>
      <c r="L35" s="43"/>
      <c r="M35" s="43"/>
      <c r="N35" s="18"/>
      <c r="O35" s="18"/>
      <c r="P35" s="18"/>
      <c r="Q35" s="18"/>
      <c r="R35" s="18"/>
      <c r="S35" s="18"/>
      <c r="T35" s="18"/>
      <c r="U35" s="18"/>
      <c r="V35" s="18"/>
      <c r="W35" s="18"/>
      <c r="X35" s="18"/>
      <c r="Y35" s="18"/>
      <c r="Z35" s="18"/>
      <c r="AA35" s="18"/>
    </row>
    <row r="36" spans="1:27" x14ac:dyDescent="0.2">
      <c r="A36" s="18"/>
      <c r="B36" s="18"/>
      <c r="C36" s="19"/>
      <c r="D36" s="97"/>
      <c r="E36" s="18"/>
      <c r="F36" s="43"/>
      <c r="G36" s="43"/>
      <c r="H36" s="18"/>
      <c r="I36" s="43"/>
      <c r="J36" s="43"/>
      <c r="K36" s="18"/>
      <c r="L36" s="43"/>
      <c r="M36" s="43"/>
      <c r="N36" s="18"/>
      <c r="O36" s="18"/>
      <c r="P36" s="18"/>
      <c r="Q36" s="18"/>
      <c r="R36" s="18"/>
      <c r="S36" s="18"/>
      <c r="T36" s="18"/>
      <c r="U36" s="18"/>
      <c r="V36" s="18"/>
      <c r="W36" s="18"/>
      <c r="X36" s="18"/>
      <c r="Y36" s="18"/>
      <c r="Z36" s="18"/>
      <c r="AA36" s="18"/>
    </row>
    <row r="37" spans="1:27" x14ac:dyDescent="0.2">
      <c r="A37" s="18"/>
      <c r="B37" s="18"/>
      <c r="C37" s="19"/>
      <c r="D37" s="97"/>
      <c r="E37" s="18"/>
      <c r="F37" s="2"/>
      <c r="G37" s="43"/>
      <c r="H37" s="18"/>
      <c r="I37" s="43"/>
      <c r="J37" s="43"/>
      <c r="K37" s="18"/>
      <c r="L37" s="43"/>
      <c r="M37" s="43"/>
      <c r="N37" s="18"/>
      <c r="O37" s="18"/>
      <c r="P37" s="18"/>
      <c r="Q37" s="18"/>
      <c r="R37" s="18"/>
      <c r="S37" s="18"/>
      <c r="T37" s="18"/>
      <c r="U37" s="18"/>
      <c r="V37" s="18"/>
      <c r="W37" s="18"/>
      <c r="X37" s="18"/>
      <c r="Y37" s="18"/>
      <c r="Z37" s="18"/>
      <c r="AA37" s="18"/>
    </row>
    <row r="38" spans="1:27" x14ac:dyDescent="0.2">
      <c r="A38" s="18"/>
      <c r="B38" s="18"/>
      <c r="C38" s="19"/>
      <c r="D38" s="97"/>
      <c r="E38" s="18"/>
      <c r="F38" s="43"/>
      <c r="G38" s="43"/>
      <c r="H38" s="18"/>
      <c r="I38" s="43"/>
      <c r="J38" s="43"/>
      <c r="K38" s="18"/>
      <c r="L38" s="43"/>
      <c r="M38" s="43"/>
      <c r="N38" s="18"/>
      <c r="O38" s="18"/>
      <c r="P38" s="18"/>
      <c r="Q38" s="18"/>
      <c r="R38" s="18"/>
      <c r="S38" s="18"/>
      <c r="T38" s="18"/>
      <c r="U38" s="18"/>
      <c r="V38" s="18"/>
      <c r="W38" s="18"/>
      <c r="X38" s="18"/>
      <c r="Y38" s="18"/>
      <c r="Z38" s="18"/>
      <c r="AA38" s="18"/>
    </row>
    <row r="39" spans="1:27" x14ac:dyDescent="0.2">
      <c r="A39" s="18"/>
      <c r="B39" s="18"/>
      <c r="C39" s="19"/>
      <c r="D39" s="97"/>
      <c r="E39" s="18"/>
      <c r="F39" s="43"/>
      <c r="G39" s="43"/>
      <c r="H39" s="18"/>
      <c r="I39" s="43"/>
      <c r="J39" s="43"/>
      <c r="K39" s="18"/>
      <c r="L39" s="43"/>
      <c r="M39" s="43"/>
      <c r="N39" s="18"/>
      <c r="O39" s="18"/>
      <c r="P39" s="18"/>
      <c r="Q39" s="18"/>
      <c r="R39" s="18"/>
      <c r="S39" s="18"/>
      <c r="T39" s="18"/>
      <c r="U39" s="18"/>
      <c r="V39" s="18"/>
      <c r="W39" s="18"/>
      <c r="X39" s="18"/>
      <c r="Y39" s="18"/>
      <c r="Z39" s="18"/>
      <c r="AA39" s="18"/>
    </row>
    <row r="40" spans="1:27" x14ac:dyDescent="0.2">
      <c r="A40" s="18"/>
      <c r="B40" s="18"/>
      <c r="C40" s="19"/>
      <c r="D40" s="2"/>
      <c r="E40" s="18"/>
      <c r="F40" s="43"/>
      <c r="G40" s="43" t="str">
        <f>'C-L'!CG1</f>
        <v>Entry OK</v>
      </c>
      <c r="H40" s="18"/>
      <c r="I40" s="43"/>
      <c r="J40" s="43" t="str">
        <f>'C-L'!CG1</f>
        <v>Entry OK</v>
      </c>
      <c r="K40" s="18"/>
      <c r="L40" s="43"/>
      <c r="M40" s="43"/>
      <c r="N40" s="18"/>
      <c r="O40" s="18"/>
      <c r="P40" s="18"/>
      <c r="Q40" s="18"/>
      <c r="R40" s="18"/>
      <c r="S40" s="18"/>
      <c r="T40" s="18"/>
      <c r="U40" s="18"/>
      <c r="V40" s="18"/>
      <c r="W40" s="18"/>
      <c r="X40" s="18"/>
      <c r="Y40" s="18"/>
      <c r="Z40" s="18"/>
      <c r="AA40" s="18"/>
    </row>
    <row r="41" spans="1:27" x14ac:dyDescent="0.2">
      <c r="A41" s="18"/>
      <c r="B41" s="18"/>
      <c r="C41" s="19"/>
      <c r="D41" s="2"/>
      <c r="E41" s="18"/>
      <c r="F41" s="43"/>
      <c r="G41" s="43" t="str">
        <f>'C-L'!CI1</f>
        <v>Wrong entry</v>
      </c>
      <c r="H41" s="18"/>
      <c r="I41" s="43"/>
      <c r="J41" s="43" t="str">
        <f>'C-L'!CI1</f>
        <v>Wrong entry</v>
      </c>
      <c r="K41" s="18"/>
      <c r="L41" s="43"/>
      <c r="M41" s="43"/>
      <c r="N41" s="18"/>
      <c r="O41" s="18"/>
      <c r="P41" s="18"/>
      <c r="Q41" s="18"/>
      <c r="R41" s="18"/>
      <c r="S41" s="18"/>
      <c r="T41" s="18"/>
      <c r="U41" s="18"/>
      <c r="V41" s="18"/>
      <c r="W41" s="18"/>
      <c r="X41" s="18"/>
      <c r="Y41" s="18"/>
      <c r="Z41" s="18"/>
      <c r="AA41" s="18"/>
    </row>
    <row r="42" spans="1:27" x14ac:dyDescent="0.2">
      <c r="A42" s="18"/>
      <c r="B42" s="18"/>
      <c r="C42" s="19"/>
      <c r="D42" s="2"/>
      <c r="E42" s="18"/>
      <c r="F42" s="43"/>
      <c r="G42" s="43"/>
      <c r="H42" s="18"/>
      <c r="I42" s="43"/>
      <c r="J42" s="43"/>
      <c r="K42" s="18"/>
      <c r="L42" s="43"/>
      <c r="M42" s="43"/>
      <c r="N42" s="18"/>
      <c r="O42" s="18"/>
      <c r="P42" s="18"/>
      <c r="Q42" s="18"/>
      <c r="R42" s="18"/>
      <c r="S42" s="18"/>
      <c r="T42" s="18"/>
      <c r="U42" s="18"/>
      <c r="V42" s="18"/>
      <c r="W42" s="18"/>
      <c r="X42" s="18"/>
      <c r="Y42" s="18"/>
      <c r="Z42" s="18"/>
      <c r="AA42" s="18"/>
    </row>
    <row r="43" spans="1:27" x14ac:dyDescent="0.2">
      <c r="A43" s="18"/>
      <c r="B43" s="18"/>
      <c r="C43" s="19"/>
      <c r="D43" s="2"/>
      <c r="E43" s="18"/>
      <c r="F43" s="43"/>
      <c r="G43" s="43"/>
      <c r="H43" s="18"/>
      <c r="I43" s="43"/>
      <c r="J43" s="43"/>
      <c r="K43" s="18"/>
      <c r="L43" s="43"/>
      <c r="M43" s="43"/>
      <c r="N43" s="18"/>
      <c r="O43" s="18"/>
      <c r="P43" s="18"/>
      <c r="Q43" s="18"/>
      <c r="R43" s="18"/>
      <c r="S43" s="18"/>
      <c r="T43" s="18"/>
      <c r="U43" s="18"/>
      <c r="V43" s="18"/>
      <c r="W43" s="18"/>
      <c r="X43" s="18"/>
      <c r="Y43" s="18"/>
      <c r="Z43" s="18"/>
      <c r="AA43" s="18"/>
    </row>
    <row r="44" spans="1:27" x14ac:dyDescent="0.2">
      <c r="A44" s="18"/>
      <c r="B44" s="18"/>
      <c r="C44" s="19"/>
      <c r="D44" s="2"/>
      <c r="E44" s="18"/>
      <c r="F44" s="43"/>
      <c r="G44" s="43"/>
      <c r="H44" s="18"/>
      <c r="I44" s="43"/>
      <c r="J44" s="43"/>
      <c r="K44" s="18"/>
      <c r="L44" s="43"/>
      <c r="M44" s="43"/>
      <c r="N44" s="18"/>
      <c r="O44" s="18"/>
      <c r="P44" s="18"/>
      <c r="Q44" s="18"/>
      <c r="R44" s="18"/>
      <c r="S44" s="18"/>
      <c r="T44" s="18"/>
      <c r="U44" s="18"/>
      <c r="V44" s="18"/>
      <c r="W44" s="18"/>
      <c r="X44" s="18"/>
      <c r="Y44" s="18"/>
      <c r="Z44" s="18"/>
      <c r="AA44" s="18"/>
    </row>
    <row r="45" spans="1:27" x14ac:dyDescent="0.2">
      <c r="A45" s="18"/>
      <c r="B45" s="18"/>
      <c r="C45" s="19"/>
      <c r="D45" s="2"/>
      <c r="E45" s="18"/>
      <c r="F45" s="43"/>
      <c r="G45" s="43"/>
      <c r="H45" s="18"/>
      <c r="I45" s="43"/>
      <c r="J45" s="43"/>
      <c r="K45" s="18"/>
      <c r="L45" s="43"/>
      <c r="M45" s="43"/>
      <c r="N45" s="18"/>
      <c r="O45" s="18"/>
      <c r="P45" s="18"/>
      <c r="Q45" s="18"/>
      <c r="R45" s="18"/>
      <c r="S45" s="18"/>
      <c r="T45" s="18"/>
      <c r="U45" s="18"/>
      <c r="V45" s="18"/>
      <c r="W45" s="18"/>
      <c r="X45" s="18"/>
      <c r="Y45" s="18"/>
      <c r="Z45" s="18"/>
      <c r="AA45" s="18"/>
    </row>
    <row r="46" spans="1:27" x14ac:dyDescent="0.2">
      <c r="A46" s="18"/>
      <c r="B46" s="18"/>
      <c r="C46" s="19"/>
      <c r="D46" s="2"/>
      <c r="E46" s="18"/>
      <c r="F46" s="43"/>
      <c r="G46" s="43"/>
      <c r="H46" s="18"/>
      <c r="I46" s="43"/>
      <c r="J46" s="43"/>
      <c r="K46" s="18"/>
      <c r="L46" s="43"/>
      <c r="M46" s="43"/>
      <c r="N46" s="18"/>
      <c r="O46" s="18"/>
      <c r="P46" s="18"/>
      <c r="Q46" s="18"/>
      <c r="R46" s="18"/>
      <c r="S46" s="18"/>
      <c r="T46" s="18"/>
      <c r="U46" s="18"/>
      <c r="V46" s="18"/>
      <c r="W46" s="18"/>
      <c r="X46" s="18"/>
      <c r="Y46" s="18"/>
      <c r="Z46" s="18"/>
      <c r="AA46" s="18"/>
    </row>
    <row r="47" spans="1:27" x14ac:dyDescent="0.2">
      <c r="A47" s="18"/>
      <c r="B47" s="18"/>
      <c r="C47" s="19"/>
      <c r="D47" s="2"/>
      <c r="E47" s="18"/>
      <c r="F47" s="43"/>
      <c r="G47" s="43"/>
      <c r="H47" s="18"/>
      <c r="I47" s="43"/>
      <c r="J47" s="43"/>
      <c r="K47" s="18"/>
      <c r="L47" s="43"/>
      <c r="M47" s="43"/>
      <c r="N47" s="18"/>
      <c r="O47" s="18"/>
      <c r="P47" s="18"/>
      <c r="Q47" s="18"/>
      <c r="R47" s="18"/>
      <c r="S47" s="18"/>
      <c r="T47" s="18"/>
      <c r="U47" s="18"/>
      <c r="V47" s="18"/>
      <c r="W47" s="18"/>
      <c r="X47" s="18"/>
      <c r="Y47" s="18"/>
      <c r="Z47" s="18"/>
      <c r="AA47" s="18"/>
    </row>
    <row r="48" spans="1:27" x14ac:dyDescent="0.2">
      <c r="A48" s="18"/>
      <c r="B48" s="18"/>
      <c r="C48" s="19"/>
      <c r="D48" s="2"/>
      <c r="E48" s="18"/>
      <c r="F48" s="43"/>
      <c r="G48" s="43"/>
      <c r="H48" s="18"/>
      <c r="I48" s="43"/>
      <c r="J48" s="43"/>
      <c r="K48" s="18"/>
      <c r="L48" s="43"/>
      <c r="M48" s="43"/>
      <c r="N48" s="18"/>
      <c r="O48" s="18"/>
      <c r="P48" s="18"/>
      <c r="Q48" s="18"/>
      <c r="R48" s="18"/>
      <c r="S48" s="18"/>
      <c r="T48" s="18"/>
      <c r="U48" s="18"/>
      <c r="V48" s="18"/>
      <c r="W48" s="18"/>
      <c r="X48" s="18"/>
      <c r="Y48" s="18"/>
      <c r="Z48" s="18"/>
      <c r="AA48" s="18"/>
    </row>
    <row r="49" spans="1:27" x14ac:dyDescent="0.2">
      <c r="A49" s="18"/>
      <c r="B49" s="18"/>
      <c r="C49" s="19"/>
      <c r="D49" s="2"/>
      <c r="E49" s="18"/>
      <c r="F49" s="43"/>
      <c r="G49" s="43"/>
      <c r="H49" s="18"/>
      <c r="I49" s="43"/>
      <c r="J49" s="43"/>
      <c r="K49" s="18"/>
      <c r="L49" s="43"/>
      <c r="M49" s="43"/>
      <c r="N49" s="18"/>
      <c r="O49" s="18"/>
      <c r="P49" s="18"/>
      <c r="Q49" s="18"/>
      <c r="R49" s="18"/>
      <c r="S49" s="18"/>
      <c r="T49" s="18"/>
      <c r="U49" s="18"/>
      <c r="V49" s="18"/>
      <c r="W49" s="18"/>
      <c r="X49" s="18"/>
      <c r="Y49" s="18"/>
      <c r="Z49" s="18"/>
      <c r="AA49" s="18"/>
    </row>
    <row r="50" spans="1:27" x14ac:dyDescent="0.2">
      <c r="A50" s="18"/>
      <c r="B50" s="18"/>
      <c r="C50" s="19"/>
      <c r="D50" s="2"/>
      <c r="E50" s="18"/>
      <c r="F50" s="43"/>
      <c r="G50" s="43"/>
      <c r="H50" s="18"/>
      <c r="I50" s="43"/>
      <c r="J50" s="43"/>
      <c r="K50" s="18"/>
      <c r="L50" s="43"/>
      <c r="M50" s="43"/>
      <c r="N50" s="18"/>
      <c r="O50" s="18"/>
      <c r="P50" s="18"/>
      <c r="Q50" s="18"/>
      <c r="R50" s="18"/>
      <c r="S50" s="18"/>
      <c r="T50" s="18"/>
      <c r="U50" s="18"/>
      <c r="V50" s="18"/>
      <c r="W50" s="18"/>
      <c r="X50" s="18"/>
      <c r="Y50" s="18"/>
      <c r="Z50" s="18"/>
      <c r="AA50" s="18"/>
    </row>
    <row r="51" spans="1:27" x14ac:dyDescent="0.2">
      <c r="A51" s="18"/>
      <c r="B51" s="18"/>
      <c r="C51" s="19"/>
      <c r="D51" s="2"/>
      <c r="E51" s="18"/>
      <c r="F51" s="43"/>
      <c r="G51" s="43"/>
      <c r="H51" s="18"/>
      <c r="I51" s="43"/>
      <c r="J51" s="43"/>
      <c r="K51" s="18"/>
      <c r="L51" s="43"/>
      <c r="M51" s="43"/>
      <c r="N51" s="18"/>
      <c r="O51" s="18"/>
      <c r="P51" s="18"/>
      <c r="Q51" s="18"/>
      <c r="R51" s="18"/>
      <c r="S51" s="18"/>
      <c r="T51" s="18"/>
      <c r="U51" s="18"/>
      <c r="V51" s="18"/>
      <c r="W51" s="18"/>
      <c r="X51" s="18"/>
      <c r="Y51" s="18"/>
      <c r="Z51" s="18"/>
      <c r="AA51" s="18"/>
    </row>
    <row r="52" spans="1:27" x14ac:dyDescent="0.2">
      <c r="A52" s="18"/>
      <c r="B52" s="18"/>
      <c r="C52" s="19"/>
      <c r="D52" s="2"/>
      <c r="E52" s="18"/>
      <c r="F52" s="43"/>
      <c r="G52" s="43"/>
      <c r="H52" s="18"/>
      <c r="I52" s="43"/>
      <c r="J52" s="43"/>
      <c r="K52" s="18"/>
      <c r="L52" s="43"/>
      <c r="M52" s="43"/>
      <c r="N52" s="18"/>
      <c r="O52" s="18"/>
      <c r="P52" s="18"/>
      <c r="Q52" s="18"/>
      <c r="R52" s="18"/>
      <c r="S52" s="18"/>
      <c r="T52" s="18"/>
      <c r="U52" s="18"/>
      <c r="V52" s="18"/>
      <c r="W52" s="18"/>
      <c r="X52" s="18"/>
      <c r="Y52" s="18"/>
      <c r="Z52" s="18"/>
      <c r="AA52" s="18"/>
    </row>
    <row r="53" spans="1:27" x14ac:dyDescent="0.2">
      <c r="A53" s="18"/>
      <c r="B53" s="18"/>
      <c r="C53" s="19"/>
      <c r="D53" s="2"/>
      <c r="E53" s="18"/>
      <c r="F53" s="43"/>
      <c r="G53" s="43"/>
      <c r="H53" s="18"/>
      <c r="I53" s="43"/>
      <c r="J53" s="43"/>
      <c r="K53" s="18"/>
      <c r="L53" s="43"/>
      <c r="M53" s="43"/>
      <c r="N53" s="18"/>
      <c r="O53" s="18"/>
      <c r="P53" s="18"/>
      <c r="Q53" s="18"/>
      <c r="R53" s="18"/>
      <c r="S53" s="18"/>
      <c r="T53" s="18"/>
      <c r="U53" s="18"/>
      <c r="V53" s="18"/>
      <c r="W53" s="18"/>
      <c r="X53" s="18"/>
      <c r="Y53" s="18"/>
      <c r="Z53" s="18"/>
      <c r="AA53" s="18"/>
    </row>
    <row r="54" spans="1:27" x14ac:dyDescent="0.2">
      <c r="A54" s="18"/>
      <c r="B54" s="18"/>
      <c r="C54" s="19"/>
      <c r="D54" s="2"/>
      <c r="E54" s="18"/>
      <c r="F54" s="43"/>
      <c r="G54" s="43"/>
      <c r="H54" s="18"/>
      <c r="I54" s="43"/>
      <c r="J54" s="43"/>
      <c r="K54" s="18"/>
      <c r="L54" s="43"/>
      <c r="M54" s="43"/>
      <c r="N54" s="18"/>
      <c r="O54" s="18"/>
      <c r="P54" s="18"/>
      <c r="Q54" s="18"/>
      <c r="R54" s="18"/>
      <c r="S54" s="18"/>
      <c r="T54" s="18"/>
      <c r="U54" s="18"/>
      <c r="V54" s="18"/>
      <c r="W54" s="18"/>
      <c r="X54" s="18"/>
      <c r="Y54" s="18"/>
      <c r="Z54" s="18"/>
      <c r="AA54" s="18"/>
    </row>
    <row r="55" spans="1:27" x14ac:dyDescent="0.2">
      <c r="A55" s="18"/>
      <c r="B55" s="18"/>
      <c r="C55" s="19"/>
      <c r="D55" s="2"/>
      <c r="E55" s="18"/>
      <c r="F55" s="43"/>
      <c r="G55" s="43"/>
      <c r="H55" s="18"/>
      <c r="I55" s="43"/>
      <c r="J55" s="43"/>
      <c r="K55" s="18"/>
      <c r="L55" s="43"/>
      <c r="M55" s="43"/>
      <c r="N55" s="18"/>
      <c r="O55" s="18"/>
      <c r="P55" s="18"/>
      <c r="Q55" s="18"/>
      <c r="R55" s="18"/>
      <c r="S55" s="18"/>
      <c r="T55" s="18"/>
      <c r="U55" s="18"/>
      <c r="V55" s="18"/>
      <c r="W55" s="18"/>
      <c r="X55" s="18"/>
      <c r="Y55" s="18"/>
      <c r="Z55" s="18"/>
      <c r="AA55" s="18"/>
    </row>
    <row r="56" spans="1:27" x14ac:dyDescent="0.2">
      <c r="A56" s="18"/>
      <c r="B56" s="18"/>
      <c r="C56" s="19"/>
      <c r="D56" s="2"/>
      <c r="E56" s="18"/>
      <c r="F56" s="43"/>
      <c r="G56" s="43"/>
      <c r="H56" s="18"/>
      <c r="I56" s="43"/>
      <c r="J56" s="43"/>
      <c r="K56" s="18"/>
      <c r="L56" s="43"/>
      <c r="M56" s="43"/>
      <c r="N56" s="18"/>
      <c r="O56" s="18"/>
      <c r="P56" s="18"/>
      <c r="Q56" s="18"/>
      <c r="R56" s="18"/>
      <c r="S56" s="18"/>
      <c r="T56" s="18"/>
      <c r="U56" s="18"/>
      <c r="V56" s="18"/>
      <c r="W56" s="18"/>
      <c r="X56" s="18"/>
      <c r="Y56" s="18"/>
      <c r="Z56" s="18"/>
      <c r="AA56" s="18"/>
    </row>
    <row r="57" spans="1:27" x14ac:dyDescent="0.2">
      <c r="A57" s="18"/>
      <c r="B57" s="18"/>
      <c r="C57" s="19"/>
      <c r="D57" s="2"/>
      <c r="E57" s="18"/>
      <c r="F57" s="43"/>
      <c r="G57" s="43"/>
      <c r="H57" s="18"/>
      <c r="I57" s="43"/>
      <c r="J57" s="43"/>
      <c r="K57" s="18"/>
      <c r="L57" s="43"/>
      <c r="M57" s="43"/>
      <c r="N57" s="18"/>
      <c r="O57" s="18"/>
      <c r="P57" s="18"/>
      <c r="Q57" s="18"/>
      <c r="R57" s="18"/>
      <c r="S57" s="18"/>
      <c r="T57" s="18"/>
      <c r="U57" s="18"/>
      <c r="V57" s="18"/>
      <c r="W57" s="18"/>
      <c r="X57" s="18"/>
      <c r="Y57" s="18"/>
      <c r="Z57" s="18"/>
      <c r="AA57" s="18"/>
    </row>
    <row r="58" spans="1:27" x14ac:dyDescent="0.2">
      <c r="A58" s="18"/>
      <c r="B58" s="18"/>
      <c r="C58" s="19"/>
      <c r="D58" s="2"/>
      <c r="E58" s="18"/>
      <c r="F58" s="43"/>
      <c r="G58" s="43"/>
      <c r="H58" s="18"/>
      <c r="I58" s="43"/>
      <c r="J58" s="43"/>
      <c r="K58" s="18"/>
      <c r="L58" s="43"/>
      <c r="M58" s="43"/>
      <c r="N58" s="18"/>
      <c r="O58" s="18"/>
      <c r="P58" s="18"/>
      <c r="Q58" s="18"/>
      <c r="R58" s="18"/>
      <c r="S58" s="18"/>
      <c r="T58" s="18"/>
      <c r="U58" s="18"/>
      <c r="V58" s="18"/>
      <c r="W58" s="18"/>
      <c r="X58" s="18"/>
      <c r="Y58" s="18"/>
      <c r="Z58" s="18"/>
      <c r="AA58" s="18"/>
    </row>
    <row r="59" spans="1:27" x14ac:dyDescent="0.2">
      <c r="A59" s="18"/>
      <c r="B59" s="18"/>
      <c r="C59" s="19"/>
      <c r="D59" s="2"/>
      <c r="E59" s="18"/>
      <c r="F59" s="43"/>
      <c r="G59" s="43"/>
      <c r="H59" s="18"/>
      <c r="I59" s="43"/>
      <c r="J59" s="43"/>
      <c r="K59" s="18"/>
      <c r="L59" s="43"/>
      <c r="M59" s="43"/>
      <c r="N59" s="18"/>
      <c r="O59" s="18"/>
      <c r="P59" s="18"/>
      <c r="Q59" s="18"/>
      <c r="R59" s="18"/>
      <c r="S59" s="18"/>
      <c r="T59" s="18"/>
      <c r="U59" s="18"/>
      <c r="V59" s="18"/>
      <c r="W59" s="18"/>
      <c r="X59" s="18"/>
      <c r="Y59" s="18"/>
      <c r="Z59" s="18"/>
      <c r="AA59" s="18"/>
    </row>
    <row r="60" spans="1:27" x14ac:dyDescent="0.2">
      <c r="A60" s="18"/>
      <c r="B60" s="18"/>
      <c r="C60" s="19"/>
      <c r="D60" s="2"/>
      <c r="E60" s="18"/>
      <c r="F60" s="43"/>
      <c r="G60" s="43"/>
      <c r="H60" s="18"/>
      <c r="I60" s="43"/>
      <c r="J60" s="43"/>
      <c r="K60" s="18"/>
      <c r="L60" s="43"/>
      <c r="M60" s="43"/>
      <c r="N60" s="18"/>
      <c r="O60" s="18"/>
      <c r="P60" s="18"/>
      <c r="Q60" s="18"/>
      <c r="R60" s="18"/>
      <c r="S60" s="18"/>
      <c r="T60" s="18"/>
      <c r="U60" s="18"/>
      <c r="V60" s="18"/>
      <c r="W60" s="18"/>
      <c r="X60" s="18"/>
      <c r="Y60" s="18"/>
      <c r="Z60" s="18"/>
      <c r="AA60" s="18"/>
    </row>
    <row r="61" spans="1:27" x14ac:dyDescent="0.2">
      <c r="A61" s="18"/>
      <c r="B61" s="18"/>
      <c r="C61" s="19"/>
      <c r="D61" s="2"/>
      <c r="E61" s="18"/>
      <c r="F61" s="43"/>
      <c r="G61" s="43"/>
      <c r="H61" s="18"/>
      <c r="I61" s="43"/>
      <c r="J61" s="43"/>
      <c r="K61" s="18"/>
      <c r="L61" s="43"/>
      <c r="M61" s="43"/>
      <c r="N61" s="18"/>
      <c r="O61" s="18"/>
      <c r="P61" s="18"/>
      <c r="Q61" s="18"/>
      <c r="R61" s="18"/>
      <c r="S61" s="18"/>
      <c r="T61" s="18"/>
      <c r="U61" s="18"/>
      <c r="V61" s="18"/>
      <c r="W61" s="18"/>
      <c r="X61" s="18"/>
      <c r="Y61" s="18"/>
      <c r="Z61" s="18"/>
      <c r="AA61" s="18"/>
    </row>
    <row r="62" spans="1:27" x14ac:dyDescent="0.2">
      <c r="A62" s="18"/>
      <c r="B62" s="18"/>
      <c r="C62" s="19"/>
      <c r="D62" s="2"/>
      <c r="E62" s="18"/>
      <c r="F62" s="43"/>
      <c r="G62" s="43"/>
      <c r="H62" s="18"/>
      <c r="I62" s="43"/>
      <c r="J62" s="43"/>
      <c r="K62" s="18"/>
      <c r="L62" s="43"/>
      <c r="M62" s="43"/>
      <c r="N62" s="18"/>
      <c r="O62" s="18"/>
      <c r="P62" s="18"/>
      <c r="Q62" s="18"/>
      <c r="R62" s="18"/>
      <c r="S62" s="18"/>
      <c r="T62" s="18"/>
      <c r="U62" s="18"/>
      <c r="V62" s="18"/>
      <c r="W62" s="18"/>
      <c r="X62" s="18"/>
      <c r="Y62" s="18"/>
      <c r="Z62" s="18"/>
      <c r="AA62" s="18"/>
    </row>
    <row r="63" spans="1:27" x14ac:dyDescent="0.2">
      <c r="A63" s="18"/>
      <c r="B63" s="18"/>
      <c r="C63" s="19"/>
      <c r="D63" s="2"/>
      <c r="E63" s="18"/>
      <c r="F63" s="43"/>
      <c r="G63" s="43"/>
      <c r="H63" s="18"/>
      <c r="I63" s="43"/>
      <c r="J63" s="43"/>
      <c r="K63" s="18"/>
      <c r="L63" s="43"/>
      <c r="M63" s="43"/>
      <c r="N63" s="18"/>
      <c r="O63" s="18"/>
      <c r="P63" s="18"/>
      <c r="Q63" s="18"/>
      <c r="R63" s="18"/>
      <c r="S63" s="18"/>
      <c r="T63" s="18"/>
      <c r="U63" s="18"/>
      <c r="V63" s="18"/>
      <c r="W63" s="18"/>
      <c r="X63" s="18"/>
      <c r="Y63" s="18"/>
      <c r="Z63" s="18"/>
      <c r="AA63" s="18"/>
    </row>
    <row r="64" spans="1:27" x14ac:dyDescent="0.2">
      <c r="A64" s="18"/>
      <c r="B64" s="18"/>
      <c r="C64" s="19"/>
      <c r="D64" s="2"/>
      <c r="E64" s="18"/>
      <c r="F64" s="43"/>
      <c r="G64" s="43"/>
      <c r="H64" s="18"/>
      <c r="I64" s="43"/>
      <c r="J64" s="43"/>
      <c r="K64" s="18"/>
      <c r="L64" s="43"/>
      <c r="M64" s="43"/>
      <c r="N64" s="18"/>
      <c r="O64" s="18"/>
      <c r="P64" s="18"/>
      <c r="Q64" s="18"/>
      <c r="R64" s="18"/>
      <c r="S64" s="18"/>
      <c r="T64" s="18"/>
      <c r="U64" s="18"/>
      <c r="V64" s="18"/>
      <c r="W64" s="18"/>
      <c r="X64" s="18"/>
      <c r="Y64" s="18"/>
      <c r="Z64" s="18"/>
      <c r="AA64" s="18"/>
    </row>
    <row r="65" spans="1:27" x14ac:dyDescent="0.2">
      <c r="A65" s="18"/>
      <c r="B65" s="18"/>
      <c r="C65" s="19"/>
      <c r="D65" s="2"/>
      <c r="E65" s="18"/>
      <c r="F65" s="43"/>
      <c r="G65" s="43"/>
      <c r="H65" s="18"/>
      <c r="I65" s="43"/>
      <c r="J65" s="43"/>
      <c r="K65" s="18"/>
      <c r="L65" s="43"/>
      <c r="M65" s="43"/>
      <c r="N65" s="18"/>
      <c r="O65" s="18"/>
      <c r="P65" s="18"/>
      <c r="Q65" s="18"/>
      <c r="R65" s="18"/>
      <c r="S65" s="18"/>
      <c r="T65" s="18"/>
      <c r="U65" s="18"/>
      <c r="V65" s="18"/>
      <c r="W65" s="18"/>
      <c r="X65" s="18"/>
      <c r="Y65" s="18"/>
      <c r="Z65" s="18"/>
      <c r="AA65" s="18"/>
    </row>
    <row r="66" spans="1:27" x14ac:dyDescent="0.2">
      <c r="A66" s="18"/>
      <c r="B66" s="18"/>
      <c r="C66" s="19"/>
      <c r="D66" s="2"/>
      <c r="E66" s="18"/>
      <c r="F66" s="43"/>
      <c r="G66" s="43"/>
      <c r="H66" s="18"/>
      <c r="I66" s="43"/>
      <c r="J66" s="43"/>
      <c r="K66" s="18"/>
      <c r="L66" s="43"/>
      <c r="M66" s="43"/>
      <c r="N66" s="18"/>
      <c r="O66" s="18"/>
      <c r="P66" s="18"/>
      <c r="Q66" s="18"/>
      <c r="R66" s="18"/>
      <c r="S66" s="18"/>
      <c r="T66" s="18"/>
      <c r="U66" s="18"/>
      <c r="V66" s="18"/>
      <c r="W66" s="18"/>
      <c r="X66" s="18"/>
      <c r="Y66" s="18"/>
      <c r="Z66" s="18"/>
      <c r="AA66" s="18"/>
    </row>
    <row r="67" spans="1:27" x14ac:dyDescent="0.2">
      <c r="A67" s="18"/>
      <c r="B67" s="18"/>
      <c r="C67" s="19"/>
      <c r="D67" s="2"/>
      <c r="E67" s="18"/>
      <c r="F67" s="43"/>
      <c r="G67" s="43"/>
      <c r="H67" s="18"/>
      <c r="I67" s="43"/>
      <c r="J67" s="43"/>
      <c r="K67" s="18"/>
      <c r="L67" s="43"/>
      <c r="M67" s="43"/>
      <c r="N67" s="18"/>
      <c r="O67" s="18"/>
      <c r="P67" s="18"/>
      <c r="Q67" s="18"/>
      <c r="R67" s="18"/>
      <c r="S67" s="18"/>
      <c r="T67" s="18"/>
      <c r="U67" s="18"/>
      <c r="V67" s="18"/>
      <c r="W67" s="18"/>
      <c r="X67" s="18"/>
      <c r="Y67" s="18"/>
      <c r="Z67" s="18"/>
      <c r="AA67" s="18"/>
    </row>
    <row r="68" spans="1:27" x14ac:dyDescent="0.2">
      <c r="A68" s="18"/>
      <c r="B68" s="18"/>
      <c r="C68" s="19"/>
      <c r="D68" s="2"/>
      <c r="E68" s="18"/>
      <c r="F68" s="43"/>
      <c r="G68" s="43"/>
      <c r="H68" s="18"/>
      <c r="I68" s="43"/>
      <c r="J68" s="43"/>
      <c r="K68" s="18"/>
      <c r="L68" s="43"/>
      <c r="M68" s="43"/>
      <c r="N68" s="18"/>
      <c r="O68" s="18"/>
      <c r="P68" s="18"/>
      <c r="Q68" s="18"/>
      <c r="R68" s="18"/>
      <c r="S68" s="18"/>
      <c r="T68" s="18"/>
      <c r="U68" s="18"/>
      <c r="V68" s="18"/>
      <c r="W68" s="18"/>
      <c r="X68" s="18"/>
      <c r="Y68" s="18"/>
      <c r="Z68" s="18"/>
      <c r="AA68" s="18"/>
    </row>
    <row r="69" spans="1:27" x14ac:dyDescent="0.2">
      <c r="A69" s="18"/>
      <c r="B69" s="18"/>
      <c r="C69" s="19"/>
      <c r="D69" s="2"/>
      <c r="E69" s="18"/>
      <c r="F69" s="43"/>
      <c r="G69" s="43"/>
      <c r="H69" s="18"/>
      <c r="I69" s="43"/>
      <c r="J69" s="43"/>
      <c r="K69" s="18"/>
      <c r="L69" s="43"/>
      <c r="M69" s="43"/>
      <c r="N69" s="18"/>
      <c r="O69" s="18"/>
      <c r="P69" s="18"/>
      <c r="Q69" s="18"/>
      <c r="R69" s="18"/>
      <c r="S69" s="18"/>
      <c r="T69" s="18"/>
      <c r="U69" s="18"/>
      <c r="V69" s="18"/>
      <c r="W69" s="18"/>
      <c r="X69" s="18"/>
      <c r="Y69" s="18"/>
      <c r="Z69" s="18"/>
      <c r="AA69" s="18"/>
    </row>
    <row r="70" spans="1:27" x14ac:dyDescent="0.2">
      <c r="A70" s="18"/>
      <c r="B70" s="18"/>
      <c r="C70" s="19"/>
      <c r="D70" s="2"/>
      <c r="E70" s="18"/>
      <c r="F70" s="43"/>
      <c r="G70" s="43"/>
      <c r="H70" s="18"/>
      <c r="I70" s="43"/>
      <c r="J70" s="43"/>
      <c r="K70" s="18"/>
      <c r="L70" s="43"/>
      <c r="M70" s="43"/>
      <c r="N70" s="18"/>
      <c r="O70" s="18"/>
      <c r="P70" s="18"/>
      <c r="Q70" s="18"/>
      <c r="R70" s="18"/>
      <c r="S70" s="18"/>
      <c r="T70" s="18"/>
      <c r="U70" s="18"/>
      <c r="V70" s="18"/>
      <c r="W70" s="18"/>
      <c r="X70" s="18"/>
      <c r="Y70" s="18"/>
      <c r="Z70" s="18"/>
      <c r="AA70" s="18"/>
    </row>
    <row r="71" spans="1:27" x14ac:dyDescent="0.2">
      <c r="A71" s="18"/>
      <c r="B71" s="18"/>
      <c r="C71" s="19"/>
      <c r="D71" s="2"/>
      <c r="E71" s="18"/>
      <c r="F71" s="43"/>
      <c r="G71" s="43"/>
      <c r="H71" s="18"/>
      <c r="I71" s="43"/>
      <c r="J71" s="43"/>
      <c r="K71" s="18"/>
      <c r="L71" s="43"/>
      <c r="M71" s="43"/>
      <c r="N71" s="18"/>
      <c r="O71" s="18"/>
      <c r="P71" s="18"/>
      <c r="Q71" s="18"/>
      <c r="R71" s="18"/>
      <c r="S71" s="18"/>
      <c r="T71" s="18"/>
      <c r="U71" s="18"/>
      <c r="V71" s="18"/>
      <c r="W71" s="18"/>
      <c r="X71" s="18"/>
      <c r="Y71" s="18"/>
      <c r="Z71" s="18"/>
      <c r="AA71" s="18"/>
    </row>
    <row r="72" spans="1:27" x14ac:dyDescent="0.2">
      <c r="A72" s="18"/>
      <c r="B72" s="18"/>
      <c r="C72" s="19"/>
      <c r="D72" s="2"/>
      <c r="E72" s="18"/>
      <c r="F72" s="43"/>
      <c r="G72" s="43"/>
      <c r="H72" s="18"/>
      <c r="I72" s="43"/>
      <c r="J72" s="43"/>
      <c r="K72" s="18"/>
      <c r="L72" s="43"/>
      <c r="M72" s="43"/>
      <c r="N72" s="18"/>
      <c r="O72" s="18"/>
      <c r="P72" s="18"/>
      <c r="Q72" s="18"/>
      <c r="R72" s="18"/>
      <c r="S72" s="18"/>
      <c r="T72" s="18"/>
      <c r="U72" s="18"/>
      <c r="V72" s="18"/>
      <c r="W72" s="18"/>
      <c r="X72" s="18"/>
      <c r="Y72" s="18"/>
      <c r="Z72" s="18"/>
      <c r="AA72" s="18"/>
    </row>
    <row r="73" spans="1:27" x14ac:dyDescent="0.2">
      <c r="A73" s="18"/>
      <c r="B73" s="18"/>
      <c r="C73" s="19"/>
      <c r="D73" s="2"/>
      <c r="E73" s="18"/>
      <c r="F73" s="43"/>
      <c r="G73" s="43"/>
      <c r="H73" s="18"/>
      <c r="I73" s="43"/>
      <c r="J73" s="43"/>
      <c r="K73" s="18"/>
      <c r="L73" s="43"/>
      <c r="M73" s="43"/>
      <c r="N73" s="18"/>
      <c r="O73" s="18"/>
      <c r="P73" s="18"/>
      <c r="Q73" s="18"/>
      <c r="R73" s="18"/>
      <c r="S73" s="18"/>
      <c r="T73" s="18"/>
      <c r="U73" s="18"/>
      <c r="V73" s="18"/>
      <c r="W73" s="18"/>
      <c r="X73" s="18"/>
      <c r="Y73" s="18"/>
      <c r="Z73" s="18"/>
      <c r="AA73" s="18"/>
    </row>
    <row r="74" spans="1:27" x14ac:dyDescent="0.2">
      <c r="A74" s="18"/>
      <c r="B74" s="18"/>
      <c r="C74" s="19"/>
      <c r="D74" s="2"/>
      <c r="E74" s="18"/>
      <c r="F74" s="43"/>
      <c r="G74" s="43"/>
      <c r="H74" s="18"/>
      <c r="I74" s="43"/>
      <c r="J74" s="43"/>
      <c r="K74" s="18"/>
      <c r="L74" s="43"/>
      <c r="M74" s="43"/>
      <c r="N74" s="18"/>
      <c r="O74" s="18"/>
      <c r="P74" s="18"/>
      <c r="Q74" s="18"/>
      <c r="R74" s="18"/>
      <c r="S74" s="18"/>
      <c r="T74" s="18"/>
      <c r="U74" s="18"/>
      <c r="V74" s="18"/>
      <c r="W74" s="18"/>
      <c r="X74" s="18"/>
      <c r="Y74" s="18"/>
      <c r="Z74" s="18"/>
      <c r="AA74" s="18"/>
    </row>
    <row r="75" spans="1:27" x14ac:dyDescent="0.2">
      <c r="A75" s="18"/>
      <c r="B75" s="18"/>
      <c r="C75" s="19"/>
      <c r="D75" s="2"/>
      <c r="E75" s="18"/>
      <c r="F75" s="43"/>
      <c r="G75" s="43"/>
      <c r="H75" s="18"/>
      <c r="I75" s="43"/>
      <c r="J75" s="43"/>
      <c r="K75" s="18"/>
      <c r="S75" s="18"/>
      <c r="T75" s="18"/>
      <c r="U75" s="18"/>
      <c r="V75" s="18"/>
      <c r="W75" s="18"/>
      <c r="X75" s="18"/>
      <c r="Y75" s="18"/>
      <c r="Z75" s="18"/>
      <c r="AA75" s="18"/>
    </row>
    <row r="76" spans="1:27" x14ac:dyDescent="0.2">
      <c r="A76" s="18"/>
      <c r="B76" s="18"/>
      <c r="C76" s="19"/>
      <c r="D76" s="2"/>
      <c r="E76" s="18"/>
      <c r="F76" s="43"/>
      <c r="G76" s="43"/>
      <c r="H76" s="18"/>
      <c r="I76" s="43"/>
      <c r="J76" s="43"/>
      <c r="K76" s="18"/>
      <c r="S76" s="18"/>
      <c r="T76" s="18"/>
      <c r="U76" s="18"/>
      <c r="V76" s="18"/>
      <c r="W76" s="18"/>
      <c r="X76" s="18"/>
      <c r="Y76" s="18"/>
      <c r="Z76" s="18"/>
      <c r="AA76" s="18"/>
    </row>
    <row r="77" spans="1:27" x14ac:dyDescent="0.2">
      <c r="A77" s="18"/>
      <c r="B77" s="18"/>
      <c r="C77" s="19"/>
      <c r="D77" s="2"/>
      <c r="E77" s="18"/>
      <c r="F77" s="43"/>
      <c r="G77" s="43"/>
      <c r="H77" s="18"/>
      <c r="I77" s="43"/>
      <c r="J77" s="43"/>
      <c r="K77" s="18"/>
      <c r="S77" s="18"/>
      <c r="T77" s="18"/>
      <c r="U77" s="18"/>
      <c r="V77" s="18"/>
      <c r="W77" s="18"/>
      <c r="X77" s="18"/>
      <c r="Y77" s="18"/>
      <c r="Z77" s="18"/>
      <c r="AA77" s="18"/>
    </row>
    <row r="78" spans="1:27" x14ac:dyDescent="0.2">
      <c r="A78" s="18"/>
      <c r="B78" s="18"/>
      <c r="C78" s="19"/>
      <c r="D78" s="2"/>
      <c r="E78" s="18"/>
      <c r="F78" s="43"/>
      <c r="G78" s="43"/>
      <c r="H78" s="18"/>
      <c r="I78" s="43"/>
      <c r="J78" s="43"/>
      <c r="K78" s="18"/>
      <c r="S78" s="18"/>
      <c r="T78" s="18"/>
      <c r="U78" s="18"/>
      <c r="V78" s="18"/>
      <c r="W78" s="18"/>
      <c r="X78" s="18"/>
      <c r="Y78" s="18"/>
      <c r="Z78" s="18"/>
      <c r="AA78" s="18"/>
    </row>
    <row r="79" spans="1:27" x14ac:dyDescent="0.2"/>
    <row r="80" spans="1:27" x14ac:dyDescent="0.2"/>
    <row r="81" x14ac:dyDescent="0.2"/>
  </sheetData>
  <sheetProtection selectLockedCells="1"/>
  <dataConsolidate/>
  <mergeCells count="8">
    <mergeCell ref="B1:U1"/>
    <mergeCell ref="G2:L2"/>
    <mergeCell ref="M2:R2"/>
    <mergeCell ref="B2:D2"/>
    <mergeCell ref="B4:D4"/>
    <mergeCell ref="I4:J4"/>
    <mergeCell ref="F4:G4"/>
    <mergeCell ref="L4:S4"/>
  </mergeCells>
  <phoneticPr fontId="5" type="noConversion"/>
  <conditionalFormatting sqref="J6 G6">
    <cfRule type="cellIs" dxfId="49" priority="92" stopIfTrue="1" operator="notEqual">
      <formula>G40</formula>
    </cfRule>
  </conditionalFormatting>
  <conditionalFormatting sqref="B8:C34">
    <cfRule type="cellIs" dxfId="48" priority="123" operator="equal">
      <formula>""</formula>
    </cfRule>
  </conditionalFormatting>
  <conditionalFormatting sqref="M2">
    <cfRule type="expression" dxfId="47" priority="55">
      <formula>$M$2&lt;&gt;0</formula>
    </cfRule>
  </conditionalFormatting>
  <conditionalFormatting sqref="F8:F33 I8:I33">
    <cfRule type="cellIs" dxfId="46" priority="5" stopIfTrue="1" operator="equal">
      <formula>0</formula>
    </cfRule>
    <cfRule type="cellIs" dxfId="45" priority="61" stopIfTrue="1" operator="greaterThan">
      <formula>#REF!</formula>
    </cfRule>
  </conditionalFormatting>
  <conditionalFormatting sqref="T9">
    <cfRule type="cellIs" dxfId="44" priority="49" operator="equal">
      <formula>""</formula>
    </cfRule>
  </conditionalFormatting>
  <conditionalFormatting sqref="D8:D34">
    <cfRule type="cellIs" dxfId="43" priority="46" operator="equal">
      <formula>0</formula>
    </cfRule>
  </conditionalFormatting>
  <conditionalFormatting sqref="L8:M21">
    <cfRule type="cellIs" dxfId="42" priority="41" operator="equal">
      <formula>""</formula>
    </cfRule>
  </conditionalFormatting>
  <conditionalFormatting sqref="T22:T23">
    <cfRule type="cellIs" dxfId="41" priority="21" operator="equal">
      <formula>""</formula>
    </cfRule>
  </conditionalFormatting>
  <conditionalFormatting sqref="S22:S23">
    <cfRule type="cellIs" dxfId="40" priority="20" stopIfTrue="1" operator="equal">
      <formula>0</formula>
    </cfRule>
  </conditionalFormatting>
  <conditionalFormatting sqref="N9:N21 R9:R21">
    <cfRule type="cellIs" dxfId="39" priority="23" operator="equal">
      <formula>0</formula>
    </cfRule>
  </conditionalFormatting>
  <conditionalFormatting sqref="T10:T21">
    <cfRule type="cellIs" dxfId="38" priority="18" operator="equal">
      <formula>""</formula>
    </cfRule>
  </conditionalFormatting>
  <conditionalFormatting sqref="S9:T21">
    <cfRule type="cellIs" dxfId="37" priority="17" stopIfTrue="1" operator="equal">
      <formula>0</formula>
    </cfRule>
  </conditionalFormatting>
  <conditionalFormatting sqref="U9:U21">
    <cfRule type="cellIs" dxfId="36" priority="15" operator="equal">
      <formula>0</formula>
    </cfRule>
  </conditionalFormatting>
  <conditionalFormatting sqref="F7">
    <cfRule type="cellIs" dxfId="35" priority="11" stopIfTrue="1" operator="equal">
      <formula>0</formula>
    </cfRule>
  </conditionalFormatting>
  <conditionalFormatting sqref="I7">
    <cfRule type="cellIs" dxfId="34" priority="10" stopIfTrue="1" operator="equal">
      <formula>0</formula>
    </cfRule>
  </conditionalFormatting>
  <conditionalFormatting sqref="G8:G33 J8:J33">
    <cfRule type="cellIs" dxfId="33" priority="140" stopIfTrue="1" operator="greaterThan">
      <formula>#REF!</formula>
    </cfRule>
    <cfRule type="cellIs" dxfId="32" priority="141" stopIfTrue="1" operator="notEqual">
      <formula>0</formula>
    </cfRule>
  </conditionalFormatting>
  <conditionalFormatting sqref="G8:G33">
    <cfRule type="cellIs" dxfId="31" priority="142" stopIfTrue="1" operator="greaterThan">
      <formula>"G/"</formula>
    </cfRule>
  </conditionalFormatting>
  <conditionalFormatting sqref="J8:J33">
    <cfRule type="cellIs" dxfId="30" priority="143" stopIfTrue="1" operator="greaterThan">
      <formula>"J7"</formula>
    </cfRule>
  </conditionalFormatting>
  <conditionalFormatting sqref="O9:O21">
    <cfRule type="cellIs" dxfId="29" priority="144" stopIfTrue="1" operator="equal">
      <formula>0</formula>
    </cfRule>
    <cfRule type="cellIs" dxfId="28" priority="145" stopIfTrue="1" operator="greaterThan">
      <formula>180</formula>
    </cfRule>
  </conditionalFormatting>
  <conditionalFormatting sqref="P9:P21">
    <cfRule type="cellIs" dxfId="27" priority="146" stopIfTrue="1" operator="equal">
      <formula>0</formula>
    </cfRule>
    <cfRule type="cellIs" dxfId="26" priority="147" stopIfTrue="1" operator="greaterThan">
      <formula>U9</formula>
    </cfRule>
  </conditionalFormatting>
  <conditionalFormatting sqref="Q9:Q21">
    <cfRule type="cellIs" dxfId="25" priority="148" stopIfTrue="1" operator="equal">
      <formula>0</formula>
    </cfRule>
    <cfRule type="cellIs" dxfId="24" priority="149" stopIfTrue="1" operator="between">
      <formula>-10</formula>
      <formula>0.01</formula>
    </cfRule>
    <cfRule type="cellIs" dxfId="23" priority="150" stopIfTrue="1" operator="between">
      <formula>0.01000001</formula>
      <formula>0.15</formula>
    </cfRule>
  </conditionalFormatting>
  <dataValidations count="3">
    <dataValidation type="whole" operator="lessThan" allowBlank="1" showInputMessage="1" showErrorMessage="1" sqref="G34 J34">
      <formula1>21</formula1>
    </dataValidation>
    <dataValidation type="whole" operator="lessThanOrEqual" allowBlank="1" showInputMessage="1" showErrorMessage="1" sqref="C6">
      <formula1>26</formula1>
    </dataValidation>
    <dataValidation type="whole" allowBlank="1" showInputMessage="1" showErrorMessage="1" error="Nombre compris entre 1 et 12_x000d_Numero compreso tra 1 e 12_x000d_Número entre 1 y 12_x000d_Zahl zwischen 1 und 12_x000d_Number between 1 and 12" sqref="J8:J33 G8:G33">
      <formula1>1</formula1>
      <formula2>12</formula2>
    </dataValidation>
  </dataValidations>
  <pageMargins left="0.27" right="0.28999999999999998" top="0.3" bottom="0.32" header="0.17" footer="0.18"/>
  <pageSetup paperSize="9" orientation="portrait" horizontalDpi="4294967292" verticalDpi="4294967292"/>
  <ignoredErrors>
    <ignoredError sqref="M21 Q21:R21 N21:P21" emptyCellReference="1"/>
  </ignoredError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rgb="FF00B050"/>
    <pageSetUpPr autoPageBreaks="0" fitToPage="1"/>
  </sheetPr>
  <dimension ref="A1:M143"/>
  <sheetViews>
    <sheetView showGridLines="0" showRowColHeaders="0" showOutlineSymbols="0" zoomScaleNormal="100" zoomScalePageLayoutView="125" workbookViewId="0">
      <selection activeCell="B29" sqref="B29"/>
    </sheetView>
  </sheetViews>
  <sheetFormatPr baseColWidth="10" defaultColWidth="10.85546875" defaultRowHeight="12.75" x14ac:dyDescent="0.2"/>
  <cols>
    <col min="1" max="1" width="10.85546875" style="9"/>
    <col min="2" max="8" width="23.7109375" style="9" customWidth="1"/>
    <col min="9" max="9" width="18.7109375" style="9" customWidth="1"/>
    <col min="10" max="16384" width="10.85546875" style="9"/>
  </cols>
  <sheetData>
    <row r="1" spans="1:9" ht="27.95" customHeight="1" x14ac:dyDescent="0.2">
      <c r="A1" s="420"/>
      <c r="B1" s="457" t="str">
        <f>'C-L'!CX1</f>
        <v>book 26-1</v>
      </c>
      <c r="C1" s="457"/>
      <c r="D1" s="457"/>
      <c r="E1" s="457"/>
      <c r="F1" s="457"/>
      <c r="G1" s="457"/>
      <c r="H1" s="457"/>
      <c r="I1" s="420"/>
    </row>
    <row r="2" spans="1:9" ht="30" customHeight="1" thickBot="1" x14ac:dyDescent="0.25">
      <c r="A2" s="300"/>
      <c r="B2" s="456" t="str">
        <f>IF('     1-DG     '!F6="","",'     1-DG     '!F6)</f>
        <v/>
      </c>
      <c r="C2" s="456"/>
      <c r="D2" s="456"/>
      <c r="E2" s="456"/>
      <c r="F2" s="456"/>
      <c r="G2" s="456"/>
      <c r="H2" s="456"/>
      <c r="I2" s="375"/>
    </row>
    <row r="3" spans="1:9" ht="20.100000000000001" customHeight="1" x14ac:dyDescent="0.2">
      <c r="A3" s="300"/>
      <c r="B3" s="305" t="str">
        <f>'C-L'!BN1</f>
        <v>General data</v>
      </c>
      <c r="C3" s="306"/>
      <c r="D3" s="306"/>
      <c r="E3" s="306"/>
      <c r="F3" s="306"/>
      <c r="G3" s="306"/>
      <c r="H3" s="306"/>
      <c r="I3" s="309"/>
    </row>
    <row r="4" spans="1:9" ht="18" customHeight="1" x14ac:dyDescent="0.2">
      <c r="A4" s="132"/>
      <c r="B4" s="140"/>
      <c r="C4" s="141"/>
      <c r="D4" s="141"/>
      <c r="E4" s="142" t="str">
        <f>'C-L'!C1</f>
        <v>Lift name</v>
      </c>
      <c r="F4" s="455" t="str">
        <f>IF('     1-DG     '!F8="","",'     1-DG     '!F8)</f>
        <v/>
      </c>
      <c r="G4" s="455"/>
      <c r="H4" s="145"/>
      <c r="I4" s="310"/>
    </row>
    <row r="5" spans="1:9" ht="18" customHeight="1" x14ac:dyDescent="0.2">
      <c r="A5" s="132"/>
      <c r="B5" s="140"/>
      <c r="C5" s="141"/>
      <c r="D5" s="141"/>
      <c r="E5" s="142" t="str">
        <f>'C-L'!O1</f>
        <v>Date</v>
      </c>
      <c r="F5" s="390" t="str">
        <f>IF('     1-DG     '!F7:I7="","",'     1-DG     '!F7:I7)</f>
        <v/>
      </c>
      <c r="G5" s="387"/>
      <c r="H5" s="145"/>
      <c r="I5" s="310"/>
    </row>
    <row r="6" spans="1:9" ht="18" customHeight="1" x14ac:dyDescent="0.2">
      <c r="A6" s="132"/>
      <c r="B6" s="140"/>
      <c r="C6" s="141"/>
      <c r="D6" s="141"/>
      <c r="E6" s="142" t="str">
        <f>'C-L'!D1</f>
        <v>Lift type</v>
      </c>
      <c r="F6" s="146" t="str">
        <f>IF('     1-DG     '!F10="","",'     1-DG     '!F10)</f>
        <v/>
      </c>
      <c r="G6" s="146"/>
      <c r="H6" s="141"/>
      <c r="I6" s="310"/>
    </row>
    <row r="7" spans="1:9" ht="18" customHeight="1" x14ac:dyDescent="0.2">
      <c r="A7" s="132"/>
      <c r="B7" s="140"/>
      <c r="C7" s="141"/>
      <c r="D7" s="141"/>
      <c r="E7" s="142" t="str">
        <f>'C-L'!AA1</f>
        <v>Total inclined length</v>
      </c>
      <c r="F7" s="322" t="str">
        <f>IF(LongueurLigne=0,"",LongueurLigne)</f>
        <v/>
      </c>
      <c r="G7" s="149" t="s">
        <v>387</v>
      </c>
      <c r="H7" s="141"/>
      <c r="I7" s="310"/>
    </row>
    <row r="8" spans="1:9" ht="18" customHeight="1" x14ac:dyDescent="0.2">
      <c r="A8" s="132"/>
      <c r="B8" s="140"/>
      <c r="C8" s="141"/>
      <c r="D8" s="141"/>
      <c r="E8" s="142" t="str">
        <f>'C-L'!T1</f>
        <v>Number of towers</v>
      </c>
      <c r="F8" s="144" t="str">
        <f>IF(NBPylône=0,"",NBPylône)</f>
        <v/>
      </c>
      <c r="G8" s="144"/>
      <c r="H8" s="141"/>
      <c r="I8" s="310"/>
    </row>
    <row r="9" spans="1:9" ht="20.100000000000001" customHeight="1" x14ac:dyDescent="0.2">
      <c r="A9" s="300"/>
      <c r="B9" s="307" t="str">
        <f>'C-L'!CT1</f>
        <v>Operating conditions</v>
      </c>
      <c r="C9" s="308"/>
      <c r="D9" s="308"/>
      <c r="E9" s="308"/>
      <c r="F9" s="308"/>
      <c r="G9" s="308"/>
      <c r="H9" s="308"/>
      <c r="I9" s="309"/>
    </row>
    <row r="10" spans="1:9" ht="18" customHeight="1" x14ac:dyDescent="0.2">
      <c r="A10" s="132"/>
      <c r="B10" s="140"/>
      <c r="C10" s="141"/>
      <c r="D10" s="141"/>
      <c r="E10" s="142" t="str">
        <f>'C-L'!E1</f>
        <v xml:space="preserve">Vehicle capacity (maximum) </v>
      </c>
      <c r="F10" s="143" t="str">
        <f>IF(Nombre_de_personne_par_siège__maximum=0,"",Nombre_de_personne_par_siège__maximum)</f>
        <v/>
      </c>
      <c r="G10" s="144" t="str">
        <f>'C-L'!AS1</f>
        <v xml:space="preserve"> prs.</v>
      </c>
      <c r="H10" s="141"/>
      <c r="I10" s="310"/>
    </row>
    <row r="11" spans="1:9" ht="18" customHeight="1" x14ac:dyDescent="0.2">
      <c r="A11" s="132"/>
      <c r="B11" s="140"/>
      <c r="C11" s="141"/>
      <c r="D11" s="141"/>
      <c r="E11" s="142" t="str">
        <f>'C-L'!G1</f>
        <v>Distance between vehicles (on average)</v>
      </c>
      <c r="F11" s="147" t="str">
        <f>IF(Espacement_Véhicules=0,"",Espacement_Véhicules)</f>
        <v/>
      </c>
      <c r="G11" s="144" t="s">
        <v>387</v>
      </c>
      <c r="H11" s="141"/>
      <c r="I11" s="310"/>
    </row>
    <row r="12" spans="1:9" ht="18" customHeight="1" x14ac:dyDescent="0.2">
      <c r="A12" s="132"/>
      <c r="B12" s="140"/>
      <c r="C12" s="141"/>
      <c r="D12" s="141"/>
      <c r="E12" s="142" t="str">
        <f>'C-L'!K1</f>
        <v>Filling of the up-coming strand</v>
      </c>
      <c r="F12" s="143" t="str">
        <f>IF(Remplissage_du_brin_montant=0,"",Remplissage_du_brin_montant)</f>
        <v/>
      </c>
      <c r="G12" s="144" t="s">
        <v>239</v>
      </c>
      <c r="H12" s="141"/>
      <c r="I12" s="310"/>
    </row>
    <row r="13" spans="1:9" ht="18" customHeight="1" x14ac:dyDescent="0.2">
      <c r="A13" s="132"/>
      <c r="B13" s="140"/>
      <c r="C13" s="141"/>
      <c r="D13" s="141"/>
      <c r="E13" s="142" t="str">
        <f>'C-L'!L1</f>
        <v>Filling of the down-going strand</v>
      </c>
      <c r="F13" s="148" t="str">
        <f>IF(Remplissage_du_brin_descendant=0,"",Remplissage_du_brin_descendant)</f>
        <v/>
      </c>
      <c r="G13" s="144" t="s">
        <v>239</v>
      </c>
      <c r="H13" s="141"/>
      <c r="I13" s="310"/>
    </row>
    <row r="14" spans="1:9" ht="18" customHeight="1" x14ac:dyDescent="0.2">
      <c r="A14" s="132"/>
      <c r="B14" s="140"/>
      <c r="C14" s="141"/>
      <c r="D14" s="141"/>
      <c r="E14" s="142" t="str">
        <f>'C-L'!Q1</f>
        <v>Maximum number of vehicles to evacuate</v>
      </c>
      <c r="F14" s="148" t="str">
        <f>IF('     3-AE     '!P6=0,"",'     3-AE     '!P6)</f>
        <v/>
      </c>
      <c r="G14" s="144" t="str">
        <f>'C-L'!AT1</f>
        <v xml:space="preserve"> veh.</v>
      </c>
      <c r="H14" s="141"/>
      <c r="I14" s="310"/>
    </row>
    <row r="15" spans="1:9" ht="15.75" x14ac:dyDescent="0.2">
      <c r="A15" s="130"/>
      <c r="B15" s="307" t="str">
        <f>'C-L'!CU1</f>
        <v>Evacuation restriction</v>
      </c>
      <c r="C15" s="308"/>
      <c r="D15" s="308"/>
      <c r="E15" s="308"/>
      <c r="F15" s="308"/>
      <c r="G15" s="308"/>
      <c r="H15" s="308"/>
      <c r="I15" s="309"/>
    </row>
    <row r="16" spans="1:9" ht="18" customHeight="1" x14ac:dyDescent="0.2">
      <c r="A16" s="131"/>
      <c r="B16" s="140"/>
      <c r="C16" s="141"/>
      <c r="D16" s="141"/>
      <c r="E16" s="142" t="str">
        <f>'C-L'!AJ1</f>
        <v>Evacuation limit time</v>
      </c>
      <c r="F16" s="143" t="str">
        <f>IF(Durée_maximale_d_évacuation=0,"",Durée_maximale_d_évacuation)</f>
        <v/>
      </c>
      <c r="G16" s="144" t="str">
        <f>'C-L'!AR1</f>
        <v xml:space="preserve"> mn.</v>
      </c>
      <c r="H16" s="141"/>
      <c r="I16" s="310"/>
    </row>
    <row r="17" spans="1:13" ht="18" customHeight="1" x14ac:dyDescent="0.2">
      <c r="A17" s="131"/>
      <c r="B17" s="140"/>
      <c r="C17" s="141"/>
      <c r="D17" s="141"/>
      <c r="E17" s="142" t="str">
        <f>'C-L'!R1&amp;". "&amp;'C-L'!H1</f>
        <v>Maximum number of evacuated vehicles  by team. Uphill strand</v>
      </c>
      <c r="F17" s="143" t="str">
        <f>IF('     1-DG     '!F17=0,"",ROUND(NMaxSiègeEquipe*(1+(100-Remplissage_du_brin_montant)*0.005),0))</f>
        <v/>
      </c>
      <c r="G17" s="144" t="str">
        <f>'C-L'!AT1</f>
        <v xml:space="preserve"> veh.</v>
      </c>
      <c r="H17" s="141"/>
      <c r="I17" s="310"/>
    </row>
    <row r="18" spans="1:13" ht="18" customHeight="1" x14ac:dyDescent="0.2">
      <c r="A18" s="131"/>
      <c r="B18" s="140"/>
      <c r="C18" s="141"/>
      <c r="D18" s="141"/>
      <c r="E18" s="142" t="str">
        <f>'C-L'!R1&amp;". "&amp;'C-L'!I1</f>
        <v>Maximum number of evacuated vehicles  by team. Downhill strand</v>
      </c>
      <c r="F18" s="143" t="str">
        <f>IF('     1-DG     '!F18=0,"",NMaxSiègeEquipe*(1+(100-Remplissage_du_brin_descendant)*0.005))</f>
        <v/>
      </c>
      <c r="G18" s="144" t="str">
        <f>'C-L'!AT1</f>
        <v xml:space="preserve"> veh.</v>
      </c>
      <c r="H18" s="141"/>
      <c r="I18" s="310"/>
    </row>
    <row r="19" spans="1:13" ht="20.100000000000001" customHeight="1" x14ac:dyDescent="0.2">
      <c r="A19" s="130"/>
      <c r="B19" s="307" t="str">
        <f>'C-L'!AP1</f>
        <v>The line</v>
      </c>
      <c r="C19" s="308"/>
      <c r="D19" s="308"/>
      <c r="E19" s="308"/>
      <c r="F19" s="308"/>
      <c r="G19" s="308"/>
      <c r="H19" s="308"/>
      <c r="I19" s="309"/>
    </row>
    <row r="20" spans="1:13" ht="76.5" x14ac:dyDescent="0.2">
      <c r="A20" s="300"/>
      <c r="B20" s="301" t="str">
        <f>'C-L'!U1</f>
        <v>Number of the tower at the start of the span</v>
      </c>
      <c r="C20" s="302" t="str">
        <f>'C-L'!W1</f>
        <v>Number of the span</v>
      </c>
      <c r="D20" s="302" t="str">
        <f>'C-L'!Z1</f>
        <v>Span inclined length</v>
      </c>
      <c r="E20" s="302" t="str">
        <f>"T1"&amp;"
"&amp;'C-L'!AD1</f>
        <v>T1
Access time to the tower and to arrive to the first vehicle</v>
      </c>
      <c r="F20" s="302" t="str">
        <f>"T2"&amp;"
"&amp;'C-L'!AE1</f>
        <v>T2
Average time to evacuate a full vehicle and to go to the next one</v>
      </c>
      <c r="G20" s="302" t="str">
        <f>"T3"&amp;"
"&amp;'C-L'!AF1</f>
        <v>T3
Time to cross a tower between two vehicles of the same section</v>
      </c>
      <c r="H20" s="302" t="str">
        <f>"T4"&amp;"
"&amp;'C-L'!AG1</f>
        <v>T4
Maximum time to bring back the last passenger to a safe place</v>
      </c>
      <c r="I20" s="311"/>
      <c r="J20" s="300"/>
      <c r="K20" s="300"/>
      <c r="L20" s="300"/>
      <c r="M20" s="300"/>
    </row>
    <row r="21" spans="1:13" ht="18" customHeight="1" x14ac:dyDescent="0.2">
      <c r="A21" s="128"/>
      <c r="B21" s="138" t="str">
        <f>'     3-AE     '!B8</f>
        <v/>
      </c>
      <c r="C21" s="137" t="str">
        <f>IF('     2-DL     '!D8="","",'     2-DL     '!D8)</f>
        <v/>
      </c>
      <c r="D21" s="136" t="str">
        <f>IF(C21="","",'     2-DL     '!E8)</f>
        <v/>
      </c>
      <c r="E21" s="135" t="str">
        <f>IF(C21="","",'     2-DL     '!F8)</f>
        <v/>
      </c>
      <c r="F21" s="135" t="str">
        <f>IF(C21="","",IF(A_TempsEvacuationVéhicule="",'     2-DL     '!H8,A_TempsEvacuationVéhicule))</f>
        <v/>
      </c>
      <c r="G21" s="135" t="str">
        <f>IF(C21="","",IF(A_TempsAccèsPortéeSuivante="",'     2-DL     '!J8,A_TempsAccèsPortéeSuivante))</f>
        <v/>
      </c>
      <c r="H21" s="135" t="str">
        <f>IF(C21="","",'     2-DL     '!L8)</f>
        <v/>
      </c>
      <c r="I21" s="312"/>
      <c r="J21" s="300"/>
      <c r="K21" s="300"/>
      <c r="L21" s="300"/>
      <c r="M21" s="121"/>
    </row>
    <row r="22" spans="1:13" ht="18" customHeight="1" x14ac:dyDescent="0.2">
      <c r="A22" s="129"/>
      <c r="B22" s="138" t="str">
        <f>'     3-AE     '!B9</f>
        <v/>
      </c>
      <c r="C22" s="137" t="str">
        <f>IF('     2-DL     '!D9="","",'     2-DL     '!D9)</f>
        <v/>
      </c>
      <c r="D22" s="136" t="str">
        <f>IF(C22="","",'     2-DL     '!E9)</f>
        <v/>
      </c>
      <c r="E22" s="135" t="str">
        <f>IF(C22="","",'     2-DL     '!F9)</f>
        <v/>
      </c>
      <c r="F22" s="135" t="str">
        <f>IF(C22="","",IF(A_TempsEvacuationVéhicule="",'     2-DL     '!H9,A_TempsEvacuationVéhicule))</f>
        <v/>
      </c>
      <c r="G22" s="135" t="str">
        <f>IF(C22="","",IF(A_TempsAccèsPortéeSuivante="",'     2-DL     '!J9,A_TempsAccèsPortéeSuivante))</f>
        <v/>
      </c>
      <c r="H22" s="135" t="str">
        <f>IF(C22="","",'     2-DL     '!L9)</f>
        <v/>
      </c>
      <c r="I22" s="312"/>
      <c r="J22" s="300"/>
      <c r="K22" s="300"/>
      <c r="L22" s="300"/>
      <c r="M22" s="300"/>
    </row>
    <row r="23" spans="1:13" ht="18" customHeight="1" x14ac:dyDescent="0.2">
      <c r="A23" s="129"/>
      <c r="B23" s="138" t="str">
        <f>'     3-AE     '!B10</f>
        <v/>
      </c>
      <c r="C23" s="137" t="str">
        <f>IF('     2-DL     '!D10="","",'     2-DL     '!D10)</f>
        <v/>
      </c>
      <c r="D23" s="136" t="str">
        <f>IF(C23="","",'     2-DL     '!E10)</f>
        <v/>
      </c>
      <c r="E23" s="135" t="str">
        <f>IF(C23="","",'     2-DL     '!F10)</f>
        <v/>
      </c>
      <c r="F23" s="135" t="str">
        <f>IF(C23="","",IF(A_TempsEvacuationVéhicule="",'     2-DL     '!H10,A_TempsEvacuationVéhicule))</f>
        <v/>
      </c>
      <c r="G23" s="135" t="str">
        <f>IF(C23="","",IF(A_TempsAccèsPortéeSuivante="",'     2-DL     '!J10,A_TempsAccèsPortéeSuivante))</f>
        <v/>
      </c>
      <c r="H23" s="135" t="str">
        <f>IF(C23="","",'     2-DL     '!L10)</f>
        <v/>
      </c>
      <c r="I23" s="312"/>
      <c r="J23" s="300"/>
      <c r="K23" s="300"/>
      <c r="L23" s="300"/>
      <c r="M23" s="300"/>
    </row>
    <row r="24" spans="1:13" ht="18" customHeight="1" x14ac:dyDescent="0.2">
      <c r="A24" s="129"/>
      <c r="B24" s="138" t="str">
        <f>'     3-AE     '!B11</f>
        <v/>
      </c>
      <c r="C24" s="137" t="str">
        <f>IF('     2-DL     '!D11="","",'     2-DL     '!D11)</f>
        <v/>
      </c>
      <c r="D24" s="136" t="str">
        <f>IF(C24="","",'     2-DL     '!E11)</f>
        <v/>
      </c>
      <c r="E24" s="135" t="str">
        <f>IF(C24="","",'     2-DL     '!F11)</f>
        <v/>
      </c>
      <c r="F24" s="135" t="str">
        <f>IF(C24="","",IF(A_TempsEvacuationVéhicule="",'     2-DL     '!H11,A_TempsEvacuationVéhicule))</f>
        <v/>
      </c>
      <c r="G24" s="135" t="str">
        <f>IF(C24="","",IF(A_TempsAccèsPortéeSuivante="",'     2-DL     '!J11,A_TempsAccèsPortéeSuivante))</f>
        <v/>
      </c>
      <c r="H24" s="135" t="str">
        <f>IF(C24="","",'     2-DL     '!L11)</f>
        <v/>
      </c>
      <c r="I24" s="312"/>
      <c r="J24" s="300"/>
      <c r="K24" s="300"/>
      <c r="L24" s="300"/>
      <c r="M24" s="300"/>
    </row>
    <row r="25" spans="1:13" ht="18" customHeight="1" x14ac:dyDescent="0.2">
      <c r="A25" s="129"/>
      <c r="B25" s="138" t="str">
        <f>'     3-AE     '!B12</f>
        <v/>
      </c>
      <c r="C25" s="137" t="str">
        <f>IF('     2-DL     '!D12="","",'     2-DL     '!D12)</f>
        <v/>
      </c>
      <c r="D25" s="136" t="str">
        <f>IF(C25="","",'     2-DL     '!E12)</f>
        <v/>
      </c>
      <c r="E25" s="135" t="str">
        <f>IF(C25="","",'     2-DL     '!F12)</f>
        <v/>
      </c>
      <c r="F25" s="135" t="str">
        <f>IF(C25="","",IF(A_TempsEvacuationVéhicule="",'     2-DL     '!H12,A_TempsEvacuationVéhicule))</f>
        <v/>
      </c>
      <c r="G25" s="135" t="str">
        <f>IF(C25="","",IF(A_TempsAccèsPortéeSuivante="",'     2-DL     '!J12,A_TempsAccèsPortéeSuivante))</f>
        <v/>
      </c>
      <c r="H25" s="135" t="str">
        <f>IF(C25="","",'     2-DL     '!L12)</f>
        <v/>
      </c>
      <c r="I25" s="312"/>
      <c r="J25" s="300"/>
      <c r="K25" s="300"/>
      <c r="L25" s="300"/>
      <c r="M25" s="300"/>
    </row>
    <row r="26" spans="1:13" ht="18" customHeight="1" x14ac:dyDescent="0.2">
      <c r="A26" s="129"/>
      <c r="B26" s="138" t="str">
        <f>'     3-AE     '!B13</f>
        <v/>
      </c>
      <c r="C26" s="137" t="str">
        <f>IF('     2-DL     '!D13="","",'     2-DL     '!D13)</f>
        <v/>
      </c>
      <c r="D26" s="136" t="str">
        <f>IF(C26="","",'     2-DL     '!E13)</f>
        <v/>
      </c>
      <c r="E26" s="135" t="str">
        <f>IF(C26="","",'     2-DL     '!F13)</f>
        <v/>
      </c>
      <c r="F26" s="135" t="str">
        <f>IF(C26="","",IF(A_TempsEvacuationVéhicule="",'     2-DL     '!H13,A_TempsEvacuationVéhicule))</f>
        <v/>
      </c>
      <c r="G26" s="135" t="str">
        <f>IF(C26="","",IF(A_TempsAccèsPortéeSuivante="",'     2-DL     '!J13,A_TempsAccèsPortéeSuivante))</f>
        <v/>
      </c>
      <c r="H26" s="135" t="str">
        <f>IF(C26="","",'     2-DL     '!L13)</f>
        <v/>
      </c>
      <c r="I26" s="312"/>
      <c r="J26" s="300"/>
      <c r="K26" s="122"/>
      <c r="L26" s="300"/>
      <c r="M26" s="300"/>
    </row>
    <row r="27" spans="1:13" ht="18" customHeight="1" x14ac:dyDescent="0.2">
      <c r="A27" s="129"/>
      <c r="B27" s="138" t="str">
        <f>'     3-AE     '!B14</f>
        <v/>
      </c>
      <c r="C27" s="137" t="str">
        <f>IF('     2-DL     '!D14="","",'     2-DL     '!D14)</f>
        <v/>
      </c>
      <c r="D27" s="136" t="str">
        <f>IF(C27="","",'     2-DL     '!E14)</f>
        <v/>
      </c>
      <c r="E27" s="135" t="str">
        <f>IF(C27="","",'     2-DL     '!F14)</f>
        <v/>
      </c>
      <c r="F27" s="135" t="str">
        <f>IF(C27="","",IF(A_TempsEvacuationVéhicule="",'     2-DL     '!H14,A_TempsEvacuationVéhicule))</f>
        <v/>
      </c>
      <c r="G27" s="135" t="str">
        <f>IF(C27="","",IF(A_TempsAccèsPortéeSuivante="",'     2-DL     '!J14,A_TempsAccèsPortéeSuivante))</f>
        <v/>
      </c>
      <c r="H27" s="135" t="str">
        <f>IF(C27="","",'     2-DL     '!L14)</f>
        <v/>
      </c>
      <c r="I27" s="312"/>
      <c r="J27" s="300"/>
      <c r="K27" s="300"/>
      <c r="L27" s="300"/>
      <c r="M27" s="300"/>
    </row>
    <row r="28" spans="1:13" ht="18" customHeight="1" x14ac:dyDescent="0.2">
      <c r="A28" s="129"/>
      <c r="B28" s="138" t="str">
        <f>'     3-AE     '!B15</f>
        <v/>
      </c>
      <c r="C28" s="137" t="str">
        <f>IF('     2-DL     '!D15="","",'     2-DL     '!D15)</f>
        <v/>
      </c>
      <c r="D28" s="136" t="str">
        <f>IF(C28="","",'     2-DL     '!E15)</f>
        <v/>
      </c>
      <c r="E28" s="135" t="str">
        <f>IF(C28="","",'     2-DL     '!F15)</f>
        <v/>
      </c>
      <c r="F28" s="135" t="str">
        <f>IF(C28="","",IF(A_TempsEvacuationVéhicule="",'     2-DL     '!H15,A_TempsEvacuationVéhicule))</f>
        <v/>
      </c>
      <c r="G28" s="135" t="str">
        <f>IF(C28="","",IF(A_TempsAccèsPortéeSuivante="",'     2-DL     '!J15,A_TempsAccèsPortéeSuivante))</f>
        <v/>
      </c>
      <c r="H28" s="135" t="str">
        <f>IF(C28="","",'     2-DL     '!L15)</f>
        <v/>
      </c>
      <c r="I28" s="312"/>
      <c r="J28" s="300"/>
      <c r="K28" s="300"/>
      <c r="L28" s="300"/>
      <c r="M28" s="300"/>
    </row>
    <row r="29" spans="1:13" ht="18" customHeight="1" x14ac:dyDescent="0.2">
      <c r="A29" s="129"/>
      <c r="B29" s="138" t="str">
        <f>'     3-AE     '!B16</f>
        <v/>
      </c>
      <c r="C29" s="137" t="str">
        <f>IF('     2-DL     '!D16="","",'     2-DL     '!D16)</f>
        <v/>
      </c>
      <c r="D29" s="136" t="str">
        <f>IF(C29="","",'     2-DL     '!E16)</f>
        <v/>
      </c>
      <c r="E29" s="135" t="str">
        <f>IF(C29="","",'     2-DL     '!F16)</f>
        <v/>
      </c>
      <c r="F29" s="135" t="str">
        <f>IF(C29="","",IF(A_TempsEvacuationVéhicule="",'     2-DL     '!H16,A_TempsEvacuationVéhicule))</f>
        <v/>
      </c>
      <c r="G29" s="135" t="str">
        <f>IF(C29="","",IF(A_TempsAccèsPortéeSuivante="",'     2-DL     '!J16,A_TempsAccèsPortéeSuivante))</f>
        <v/>
      </c>
      <c r="H29" s="135" t="str">
        <f>IF(C29="","",'     2-DL     '!L16)</f>
        <v/>
      </c>
      <c r="I29" s="312"/>
      <c r="J29" s="300"/>
      <c r="K29" s="300"/>
      <c r="L29" s="300"/>
      <c r="M29" s="300"/>
    </row>
    <row r="30" spans="1:13" ht="18" customHeight="1" x14ac:dyDescent="0.2">
      <c r="A30" s="129"/>
      <c r="B30" s="138" t="str">
        <f>'     3-AE     '!B17</f>
        <v/>
      </c>
      <c r="C30" s="137" t="str">
        <f>IF('     2-DL     '!D17="","",'     2-DL     '!D17)</f>
        <v/>
      </c>
      <c r="D30" s="136" t="str">
        <f>IF(C30="","",'     2-DL     '!E17)</f>
        <v/>
      </c>
      <c r="E30" s="135" t="str">
        <f>IF(C30="","",'     2-DL     '!F17)</f>
        <v/>
      </c>
      <c r="F30" s="135" t="str">
        <f>IF(C30="","",IF(A_TempsEvacuationVéhicule="",'     2-DL     '!H17,A_TempsEvacuationVéhicule))</f>
        <v/>
      </c>
      <c r="G30" s="135" t="str">
        <f>IF(C30="","",IF(A_TempsAccèsPortéeSuivante="",'     2-DL     '!J17,A_TempsAccèsPortéeSuivante))</f>
        <v/>
      </c>
      <c r="H30" s="135" t="str">
        <f>IF(C30="","",'     2-DL     '!L17)</f>
        <v/>
      </c>
      <c r="I30" s="312"/>
      <c r="J30" s="300"/>
      <c r="K30" s="300"/>
      <c r="L30" s="300"/>
      <c r="M30" s="300"/>
    </row>
    <row r="31" spans="1:13" ht="18" customHeight="1" x14ac:dyDescent="0.2">
      <c r="A31" s="129"/>
      <c r="B31" s="138" t="str">
        <f>'     3-AE     '!B18</f>
        <v/>
      </c>
      <c r="C31" s="137" t="str">
        <f>IF('     2-DL     '!D18="","",'     2-DL     '!D18)</f>
        <v/>
      </c>
      <c r="D31" s="136" t="str">
        <f>IF(C31="","",'     2-DL     '!E18)</f>
        <v/>
      </c>
      <c r="E31" s="135" t="str">
        <f>IF(C31="","",'     2-DL     '!F18)</f>
        <v/>
      </c>
      <c r="F31" s="135" t="str">
        <f>IF(C31="","",IF(A_TempsEvacuationVéhicule="",'     2-DL     '!H18,A_TempsEvacuationVéhicule))</f>
        <v/>
      </c>
      <c r="G31" s="135" t="str">
        <f>IF(C31="","",IF(A_TempsAccèsPortéeSuivante="",'     2-DL     '!J18,A_TempsAccèsPortéeSuivante))</f>
        <v/>
      </c>
      <c r="H31" s="135" t="str">
        <f>IF(C31="","",'     2-DL     '!L18)</f>
        <v/>
      </c>
      <c r="I31" s="312"/>
      <c r="J31" s="300"/>
      <c r="K31" s="300"/>
      <c r="L31" s="300"/>
      <c r="M31" s="300"/>
    </row>
    <row r="32" spans="1:13" ht="18" customHeight="1" x14ac:dyDescent="0.2">
      <c r="A32" s="129"/>
      <c r="B32" s="138" t="str">
        <f>'     3-AE     '!B19</f>
        <v/>
      </c>
      <c r="C32" s="137" t="str">
        <f>IF('     2-DL     '!D19="","",'     2-DL     '!D19)</f>
        <v/>
      </c>
      <c r="D32" s="136" t="str">
        <f>IF(C32="","",'     2-DL     '!E19)</f>
        <v/>
      </c>
      <c r="E32" s="135" t="str">
        <f>IF(C32="","",'     2-DL     '!F19)</f>
        <v/>
      </c>
      <c r="F32" s="135" t="str">
        <f>IF(C32="","",IF(A_TempsEvacuationVéhicule="",'     2-DL     '!H19,A_TempsEvacuationVéhicule))</f>
        <v/>
      </c>
      <c r="G32" s="135" t="str">
        <f>IF(C32="","",IF(A_TempsAccèsPortéeSuivante="",'     2-DL     '!J19,A_TempsAccèsPortéeSuivante))</f>
        <v/>
      </c>
      <c r="H32" s="135" t="str">
        <f>IF(C32="","",'     2-DL     '!L19)</f>
        <v/>
      </c>
      <c r="I32" s="312"/>
      <c r="J32" s="300"/>
      <c r="K32" s="300"/>
      <c r="L32" s="300"/>
      <c r="M32" s="300"/>
    </row>
    <row r="33" spans="1:13" ht="18" customHeight="1" x14ac:dyDescent="0.2">
      <c r="A33" s="129"/>
      <c r="B33" s="138" t="str">
        <f>'     3-AE     '!B20</f>
        <v/>
      </c>
      <c r="C33" s="137" t="str">
        <f>IF('     2-DL     '!D20="","",'     2-DL     '!D20)</f>
        <v/>
      </c>
      <c r="D33" s="136" t="str">
        <f>IF(C33="","",'     2-DL     '!E20)</f>
        <v/>
      </c>
      <c r="E33" s="135" t="str">
        <f>IF(C33="","",'     2-DL     '!F20)</f>
        <v/>
      </c>
      <c r="F33" s="135" t="str">
        <f>IF(C33="","",IF(A_TempsEvacuationVéhicule="",'     2-DL     '!H20,A_TempsEvacuationVéhicule))</f>
        <v/>
      </c>
      <c r="G33" s="135" t="str">
        <f>IF(C33="","",IF(A_TempsAccèsPortéeSuivante="",'     2-DL     '!J20,A_TempsAccèsPortéeSuivante))</f>
        <v/>
      </c>
      <c r="H33" s="135" t="str">
        <f>IF(C33="","",'     2-DL     '!L20)</f>
        <v/>
      </c>
      <c r="I33" s="312"/>
      <c r="J33" s="120"/>
      <c r="K33" s="300"/>
      <c r="L33" s="300"/>
      <c r="M33" s="300"/>
    </row>
    <row r="34" spans="1:13" ht="18" customHeight="1" x14ac:dyDescent="0.2">
      <c r="A34" s="129"/>
      <c r="B34" s="138" t="str">
        <f>'     3-AE     '!B21</f>
        <v/>
      </c>
      <c r="C34" s="137" t="str">
        <f>IF('     2-DL     '!D21="","",'     2-DL     '!D21)</f>
        <v/>
      </c>
      <c r="D34" s="136" t="str">
        <f>IF(C34="","",'     2-DL     '!E21)</f>
        <v/>
      </c>
      <c r="E34" s="135" t="str">
        <f>IF(C34="","",'     2-DL     '!F21)</f>
        <v/>
      </c>
      <c r="F34" s="135" t="str">
        <f>IF(C34="","",IF(A_TempsEvacuationVéhicule="",'     2-DL     '!H21,A_TempsEvacuationVéhicule))</f>
        <v/>
      </c>
      <c r="G34" s="135" t="str">
        <f>IF(C34="","",IF(A_TempsAccèsPortéeSuivante="",'     2-DL     '!J21,A_TempsAccèsPortéeSuivante))</f>
        <v/>
      </c>
      <c r="H34" s="135" t="str">
        <f>IF(C34="","",'     2-DL     '!L21)</f>
        <v/>
      </c>
      <c r="I34" s="312"/>
      <c r="J34" s="120"/>
      <c r="K34" s="300"/>
      <c r="L34" s="300"/>
      <c r="M34" s="300"/>
    </row>
    <row r="35" spans="1:13" ht="18" customHeight="1" x14ac:dyDescent="0.2">
      <c r="A35" s="129"/>
      <c r="B35" s="138" t="str">
        <f>'     3-AE     '!B22</f>
        <v/>
      </c>
      <c r="C35" s="137" t="str">
        <f>IF('     2-DL     '!D22="","",'     2-DL     '!D22)</f>
        <v/>
      </c>
      <c r="D35" s="136" t="str">
        <f>IF(C35="","",'     2-DL     '!E22)</f>
        <v/>
      </c>
      <c r="E35" s="135" t="str">
        <f>IF(C35="","",'     2-DL     '!F22)</f>
        <v/>
      </c>
      <c r="F35" s="135" t="str">
        <f>IF(C35="","",IF(A_TempsEvacuationVéhicule="",'     2-DL     '!H22,A_TempsEvacuationVéhicule))</f>
        <v/>
      </c>
      <c r="G35" s="135" t="str">
        <f>IF(C35="","",IF(A_TempsAccèsPortéeSuivante="",'     2-DL     '!J22,A_TempsAccèsPortéeSuivante))</f>
        <v/>
      </c>
      <c r="H35" s="135" t="str">
        <f>IF(C35="","",'     2-DL     '!L22)</f>
        <v/>
      </c>
      <c r="I35" s="312"/>
      <c r="J35" s="120"/>
      <c r="K35" s="300"/>
      <c r="L35" s="300"/>
      <c r="M35" s="300"/>
    </row>
    <row r="36" spans="1:13" ht="18" customHeight="1" x14ac:dyDescent="0.2">
      <c r="A36" s="129"/>
      <c r="B36" s="138" t="str">
        <f>'     3-AE     '!B23</f>
        <v/>
      </c>
      <c r="C36" s="137" t="str">
        <f>IF('     2-DL     '!D23="","",'     2-DL     '!D23)</f>
        <v/>
      </c>
      <c r="D36" s="136" t="str">
        <f>IF(C36="","",'     2-DL     '!E23)</f>
        <v/>
      </c>
      <c r="E36" s="135" t="str">
        <f>IF(C36="","",'     2-DL     '!F23)</f>
        <v/>
      </c>
      <c r="F36" s="135" t="str">
        <f>IF(C36="","",IF(A_TempsEvacuationVéhicule="",'     2-DL     '!H23,A_TempsEvacuationVéhicule))</f>
        <v/>
      </c>
      <c r="G36" s="135" t="str">
        <f>IF(C36="","",IF(A_TempsAccèsPortéeSuivante="",'     2-DL     '!J23,A_TempsAccèsPortéeSuivante))</f>
        <v/>
      </c>
      <c r="H36" s="135" t="str">
        <f>IF(C36="","",'     2-DL     '!L23)</f>
        <v/>
      </c>
      <c r="I36" s="312"/>
      <c r="J36" s="120"/>
    </row>
    <row r="37" spans="1:13" ht="18" customHeight="1" x14ac:dyDescent="0.2">
      <c r="A37" s="128"/>
      <c r="B37" s="138" t="str">
        <f>'     3-AE     '!B24</f>
        <v/>
      </c>
      <c r="C37" s="137" t="str">
        <f>IF('     2-DL     '!D24="","",'     2-DL     '!D24)</f>
        <v/>
      </c>
      <c r="D37" s="136" t="str">
        <f>IF(C37="","",'     2-DL     '!E24)</f>
        <v/>
      </c>
      <c r="E37" s="135" t="str">
        <f>IF(C37="","",'     2-DL     '!F24)</f>
        <v/>
      </c>
      <c r="F37" s="135" t="str">
        <f>IF(C37="","",IF(A_TempsEvacuationVéhicule="",'     2-DL     '!H24,A_TempsEvacuationVéhicule))</f>
        <v/>
      </c>
      <c r="G37" s="135" t="str">
        <f>IF(C37="","",IF(A_TempsAccèsPortéeSuivante="",'     2-DL     '!J24,A_TempsAccèsPortéeSuivante))</f>
        <v/>
      </c>
      <c r="H37" s="135" t="str">
        <f>IF(C37="","",'     2-DL     '!L24)</f>
        <v/>
      </c>
      <c r="I37" s="312"/>
      <c r="J37" s="120"/>
    </row>
    <row r="38" spans="1:13" ht="18" customHeight="1" x14ac:dyDescent="0.2">
      <c r="A38" s="128"/>
      <c r="B38" s="138" t="str">
        <f>'     3-AE     '!B25</f>
        <v/>
      </c>
      <c r="C38" s="137" t="str">
        <f>IF('     2-DL     '!D25="","",'     2-DL     '!D25)</f>
        <v/>
      </c>
      <c r="D38" s="136" t="str">
        <f>IF(C38="","",'     2-DL     '!E25)</f>
        <v/>
      </c>
      <c r="E38" s="135" t="str">
        <f>IF(C38="","",'     2-DL     '!F25)</f>
        <v/>
      </c>
      <c r="F38" s="135" t="str">
        <f>IF(C38="","",IF(A_TempsEvacuationVéhicule="",'     2-DL     '!H25,A_TempsEvacuationVéhicule))</f>
        <v/>
      </c>
      <c r="G38" s="135" t="str">
        <f>IF(C38="","",IF(A_TempsAccèsPortéeSuivante="",'     2-DL     '!J25,A_TempsAccèsPortéeSuivante))</f>
        <v/>
      </c>
      <c r="H38" s="135" t="str">
        <f>IF(C38="","",'     2-DL     '!L25)</f>
        <v/>
      </c>
      <c r="I38" s="312"/>
      <c r="J38" s="120"/>
    </row>
    <row r="39" spans="1:13" ht="18" customHeight="1" x14ac:dyDescent="0.2">
      <c r="A39" s="128"/>
      <c r="B39" s="138" t="str">
        <f>'     3-AE     '!B26</f>
        <v/>
      </c>
      <c r="C39" s="137" t="str">
        <f>IF('     2-DL     '!D26="","",'     2-DL     '!D26)</f>
        <v/>
      </c>
      <c r="D39" s="136" t="str">
        <f>IF(C39="","",'     2-DL     '!E26)</f>
        <v/>
      </c>
      <c r="E39" s="135" t="str">
        <f>IF(C39="","",'     2-DL     '!F26)</f>
        <v/>
      </c>
      <c r="F39" s="135" t="str">
        <f>IF(C39="","",IF(A_TempsEvacuationVéhicule="",'     2-DL     '!H26,A_TempsEvacuationVéhicule))</f>
        <v/>
      </c>
      <c r="G39" s="135" t="str">
        <f>IF(C39="","",IF(A_TempsAccèsPortéeSuivante="",'     2-DL     '!J26,A_TempsAccèsPortéeSuivante))</f>
        <v/>
      </c>
      <c r="H39" s="135" t="str">
        <f>IF(C39="","",'     2-DL     '!L26)</f>
        <v/>
      </c>
      <c r="I39" s="312"/>
      <c r="J39" s="120"/>
    </row>
    <row r="40" spans="1:13" ht="18" customHeight="1" x14ac:dyDescent="0.2">
      <c r="A40" s="128"/>
      <c r="B40" s="138" t="str">
        <f>'     3-AE     '!B27</f>
        <v/>
      </c>
      <c r="C40" s="137" t="str">
        <f>IF('     2-DL     '!D27="","",'     2-DL     '!D27)</f>
        <v/>
      </c>
      <c r="D40" s="136" t="str">
        <f>IF(C40="","",'     2-DL     '!E27)</f>
        <v/>
      </c>
      <c r="E40" s="135" t="str">
        <f>IF(C40="","",'     2-DL     '!F27)</f>
        <v/>
      </c>
      <c r="F40" s="135" t="str">
        <f>IF(C40="","",IF(A_TempsEvacuationVéhicule="",'     2-DL     '!H27,A_TempsEvacuationVéhicule))</f>
        <v/>
      </c>
      <c r="G40" s="135" t="str">
        <f>IF(C40="","",IF(A_TempsAccèsPortéeSuivante="",'     2-DL     '!J27,A_TempsAccèsPortéeSuivante))</f>
        <v/>
      </c>
      <c r="H40" s="135" t="str">
        <f>IF(C40="","",'     2-DL     '!L27)</f>
        <v/>
      </c>
      <c r="I40" s="312"/>
      <c r="J40" s="120"/>
    </row>
    <row r="41" spans="1:13" ht="18" customHeight="1" x14ac:dyDescent="0.2">
      <c r="A41" s="128"/>
      <c r="B41" s="138" t="str">
        <f>'     3-AE     '!B28</f>
        <v/>
      </c>
      <c r="C41" s="137" t="str">
        <f>IF('     2-DL     '!D28="","",'     2-DL     '!D28)</f>
        <v/>
      </c>
      <c r="D41" s="136" t="str">
        <f>IF(C41="","",'     2-DL     '!E28)</f>
        <v/>
      </c>
      <c r="E41" s="135" t="str">
        <f>IF(C41="","",'     2-DL     '!F28)</f>
        <v/>
      </c>
      <c r="F41" s="135" t="str">
        <f>IF(C41="","",IF(A_TempsEvacuationVéhicule="",'     2-DL     '!H28,A_TempsEvacuationVéhicule))</f>
        <v/>
      </c>
      <c r="G41" s="135" t="str">
        <f>IF(C41="","",IF(A_TempsAccèsPortéeSuivante="",'     2-DL     '!J28,A_TempsAccèsPortéeSuivante))</f>
        <v/>
      </c>
      <c r="H41" s="135" t="str">
        <f>IF(C41="","",'     2-DL     '!L28)</f>
        <v/>
      </c>
      <c r="I41" s="312"/>
      <c r="J41" s="120"/>
    </row>
    <row r="42" spans="1:13" ht="18" customHeight="1" x14ac:dyDescent="0.2">
      <c r="A42" s="128"/>
      <c r="B42" s="138" t="str">
        <f>'     3-AE     '!B29</f>
        <v/>
      </c>
      <c r="C42" s="137" t="str">
        <f>IF('     2-DL     '!D29="","",'     2-DL     '!D29)</f>
        <v/>
      </c>
      <c r="D42" s="136" t="str">
        <f>IF(C42="","",'     2-DL     '!E29)</f>
        <v/>
      </c>
      <c r="E42" s="135" t="str">
        <f>IF(C42="","",'     2-DL     '!F29)</f>
        <v/>
      </c>
      <c r="F42" s="135" t="str">
        <f>IF(C42="","",IF(A_TempsEvacuationVéhicule="",'     2-DL     '!H29,A_TempsEvacuationVéhicule))</f>
        <v/>
      </c>
      <c r="G42" s="135" t="str">
        <f>IF(C42="","",IF(A_TempsAccèsPortéeSuivante="",'     2-DL     '!J29,A_TempsAccèsPortéeSuivante))</f>
        <v/>
      </c>
      <c r="H42" s="135" t="str">
        <f>IF(C42="","",'     2-DL     '!L29)</f>
        <v/>
      </c>
      <c r="I42" s="312"/>
      <c r="J42" s="120"/>
    </row>
    <row r="43" spans="1:13" ht="18" customHeight="1" x14ac:dyDescent="0.2">
      <c r="A43" s="128"/>
      <c r="B43" s="138" t="str">
        <f>'     3-AE     '!B30</f>
        <v/>
      </c>
      <c r="C43" s="137" t="str">
        <f>IF('     2-DL     '!D30="","",'     2-DL     '!D30)</f>
        <v/>
      </c>
      <c r="D43" s="136" t="str">
        <f>IF(C43="","",'     2-DL     '!E30)</f>
        <v/>
      </c>
      <c r="E43" s="135" t="str">
        <f>IF(C43="","",'     2-DL     '!F30)</f>
        <v/>
      </c>
      <c r="F43" s="135" t="str">
        <f>IF(C43="","",IF(A_TempsEvacuationVéhicule="",'     2-DL     '!H30,A_TempsEvacuationVéhicule))</f>
        <v/>
      </c>
      <c r="G43" s="135" t="str">
        <f>IF(C43="","",IF(A_TempsAccèsPortéeSuivante="",'     2-DL     '!J30,A_TempsAccèsPortéeSuivante))</f>
        <v/>
      </c>
      <c r="H43" s="135" t="str">
        <f>IF(C43="","",'     2-DL     '!L30)</f>
        <v/>
      </c>
      <c r="I43" s="312"/>
      <c r="J43" s="120"/>
    </row>
    <row r="44" spans="1:13" ht="18" customHeight="1" x14ac:dyDescent="0.2">
      <c r="A44" s="128"/>
      <c r="B44" s="138" t="str">
        <f>'     3-AE     '!B31</f>
        <v/>
      </c>
      <c r="C44" s="137" t="str">
        <f>IF('     2-DL     '!D31="","",'     2-DL     '!D31)</f>
        <v/>
      </c>
      <c r="D44" s="136" t="str">
        <f>IF(C44="","",'     2-DL     '!E31)</f>
        <v/>
      </c>
      <c r="E44" s="135" t="str">
        <f>IF(C44="","",'     2-DL     '!F31)</f>
        <v/>
      </c>
      <c r="F44" s="135" t="str">
        <f>IF(C44="","",IF(A_TempsEvacuationVéhicule="",'     2-DL     '!H31,A_TempsEvacuationVéhicule))</f>
        <v/>
      </c>
      <c r="G44" s="135" t="str">
        <f>IF(C44="","",IF(A_TempsAccèsPortéeSuivante="",'     2-DL     '!J31,A_TempsAccèsPortéeSuivante))</f>
        <v/>
      </c>
      <c r="H44" s="135" t="str">
        <f>IF(C44="","",'     2-DL     '!L31)</f>
        <v/>
      </c>
      <c r="I44" s="312"/>
      <c r="J44" s="120"/>
    </row>
    <row r="45" spans="1:13" ht="18" customHeight="1" x14ac:dyDescent="0.2">
      <c r="A45" s="128"/>
      <c r="B45" s="138" t="str">
        <f>'     3-AE     '!B32</f>
        <v/>
      </c>
      <c r="C45" s="137" t="str">
        <f>IF('     2-DL     '!D32="","",'     2-DL     '!D32)</f>
        <v/>
      </c>
      <c r="D45" s="136" t="str">
        <f>IF(C45="","",'     2-DL     '!E32)</f>
        <v/>
      </c>
      <c r="E45" s="135" t="str">
        <f>IF(C45="","",'     2-DL     '!F32)</f>
        <v/>
      </c>
      <c r="F45" s="135" t="str">
        <f>IF(C45="","",IF(A_TempsEvacuationVéhicule="",'     2-DL     '!H32,A_TempsEvacuationVéhicule))</f>
        <v/>
      </c>
      <c r="G45" s="135" t="str">
        <f>IF(C45="","",IF(A_TempsAccèsPortéeSuivante="",'     2-DL     '!J32,A_TempsAccèsPortéeSuivante))</f>
        <v/>
      </c>
      <c r="H45" s="135" t="str">
        <f>IF(C45="","",'     2-DL     '!L32)</f>
        <v/>
      </c>
      <c r="I45" s="312"/>
      <c r="J45" s="120"/>
    </row>
    <row r="46" spans="1:13" ht="18" customHeight="1" x14ac:dyDescent="0.2">
      <c r="A46" s="128"/>
      <c r="B46" s="138" t="str">
        <f>'     3-AE     '!B33</f>
        <v/>
      </c>
      <c r="C46" s="137" t="str">
        <f>IF('     2-DL     '!D33="","",'     2-DL     '!D33)</f>
        <v/>
      </c>
      <c r="D46" s="136" t="str">
        <f>IF(C46="","",'     2-DL     '!E33)</f>
        <v/>
      </c>
      <c r="E46" s="135" t="str">
        <f>IF(C46="","",'     2-DL     '!F33)</f>
        <v/>
      </c>
      <c r="F46" s="135" t="str">
        <f>IF(C46="","",IF(A_TempsEvacuationVéhicule="",'     2-DL     '!H33,A_TempsEvacuationVéhicule))</f>
        <v/>
      </c>
      <c r="G46" s="135" t="str">
        <f>IF(C46="","",IF(A_TempsAccèsPortéeSuivante="",'     2-DL     '!J33,A_TempsAccèsPortéeSuivante))</f>
        <v/>
      </c>
      <c r="H46" s="135" t="str">
        <f>IF(C46="","",'     2-DL     '!L33)</f>
        <v/>
      </c>
      <c r="I46" s="312"/>
      <c r="J46" s="120"/>
    </row>
    <row r="47" spans="1:13" ht="18" customHeight="1" x14ac:dyDescent="0.2">
      <c r="A47" s="128"/>
      <c r="B47" s="138" t="str">
        <f>'     3-AE     '!B34</f>
        <v/>
      </c>
      <c r="C47" s="137"/>
      <c r="D47" s="136"/>
      <c r="E47" s="135"/>
      <c r="F47" s="135"/>
      <c r="G47" s="135"/>
      <c r="H47" s="135"/>
      <c r="I47" s="312"/>
      <c r="J47" s="120"/>
    </row>
    <row r="48" spans="1:13" ht="20.100000000000001" customHeight="1" x14ac:dyDescent="0.2">
      <c r="A48" s="300"/>
      <c r="B48" s="307" t="str">
        <f>'C-L'!CV1</f>
        <v>Evacuation arrangement</v>
      </c>
      <c r="C48" s="308"/>
      <c r="D48" s="308"/>
      <c r="E48" s="308"/>
      <c r="F48" s="308"/>
      <c r="G48" s="308"/>
      <c r="H48" s="308"/>
      <c r="I48" s="309"/>
      <c r="J48" s="300"/>
    </row>
    <row r="49" spans="1:10" ht="38.25" x14ac:dyDescent="0.2">
      <c r="A49" s="119"/>
      <c r="B49" s="301" t="str">
        <f>'C-L'!N1</f>
        <v>Team number</v>
      </c>
      <c r="C49" s="302" t="str">
        <f>'C-L'!W1</f>
        <v>Number of the span</v>
      </c>
      <c r="D49" s="302" t="str">
        <f>'C-L'!AK1</f>
        <v xml:space="preserve">Duration of the span evacuation  </v>
      </c>
      <c r="E49" s="302" t="str">
        <f>'C-L'!AC1</f>
        <v>Length of the section</v>
      </c>
      <c r="F49" s="302" t="str">
        <f>'C-L'!Y1</f>
        <v>Number of evacuated spans</v>
      </c>
      <c r="G49" s="302" t="str">
        <f>'C-L'!R1</f>
        <v>Maximum number of evacuated vehicles  by team</v>
      </c>
      <c r="H49" s="302" t="str">
        <f>'C-L'!F1</f>
        <v>Maximum number of evacuated persons</v>
      </c>
      <c r="I49" s="311"/>
      <c r="J49" s="119"/>
    </row>
    <row r="50" spans="1:10" ht="18" customHeight="1" x14ac:dyDescent="0.2">
      <c r="A50" s="300"/>
      <c r="B50" s="152" t="str">
        <f>'     3-AE     '!L8</f>
        <v/>
      </c>
      <c r="C50" s="139"/>
      <c r="D50" s="139"/>
      <c r="E50" s="139"/>
      <c r="F50" s="139"/>
      <c r="G50" s="139"/>
      <c r="H50" s="139"/>
      <c r="I50" s="313"/>
      <c r="J50" s="300"/>
    </row>
    <row r="51" spans="1:10" ht="18" customHeight="1" x14ac:dyDescent="0.2">
      <c r="A51" s="300"/>
      <c r="B51" s="152" t="str">
        <f>'     3-AE     '!L9</f>
        <v/>
      </c>
      <c r="C51" s="261" t="str">
        <f>'     3-AE     '!M9</f>
        <v/>
      </c>
      <c r="D51" s="319" t="str">
        <f>IF('     3-AE     '!O9=0,"",'     3-AE     '!O9&amp;" "&amp;'C-L'!$AR$1)</f>
        <v/>
      </c>
      <c r="E51" s="320" t="str">
        <f>IF('     3-AE     '!N9=0,"",'     3-AE     '!N9)</f>
        <v/>
      </c>
      <c r="F51" s="210" t="str">
        <f>IF('C-CU'!BE8+'C-CU'!BK8=0,"",'C-CU'!BE8+'C-CU'!BK8&amp;"  "&amp;'C-L'!$X$1)</f>
        <v/>
      </c>
      <c r="G51" s="210" t="str">
        <f>IF('C-CU'!BB8+'C-CU'!BH8=0,"",'C-CU'!BB8+'C-CU'!BH8&amp;"  "&amp;'C-L'!$AT$1)</f>
        <v/>
      </c>
      <c r="H51" s="210" t="str">
        <f>IF('C-CU'!BD8+'C-CU'!BJ8=0,"",'C-CU'!BD8+'C-CU'!BJ8&amp;"  "&amp;'C-L'!$AS$1)</f>
        <v/>
      </c>
      <c r="I51" s="314"/>
      <c r="J51" s="300"/>
    </row>
    <row r="52" spans="1:10" ht="18" customHeight="1" x14ac:dyDescent="0.2">
      <c r="B52" s="152" t="str">
        <f>'     3-AE     '!L10</f>
        <v/>
      </c>
      <c r="C52" s="261" t="str">
        <f>'     3-AE     '!M10</f>
        <v/>
      </c>
      <c r="D52" s="319" t="str">
        <f>IF('     3-AE     '!O10=0,"",'     3-AE     '!O10&amp;" "&amp;'C-L'!$AR$1)</f>
        <v/>
      </c>
      <c r="E52" s="320" t="str">
        <f>IF('     3-AE     '!N10=0,"",'     3-AE     '!N10)</f>
        <v/>
      </c>
      <c r="F52" s="210" t="str">
        <f>IF('C-CU'!BE9+'C-CU'!BK9=0,"",'C-CU'!BE9+'C-CU'!BK9&amp;"  "&amp;'C-L'!$X$1)</f>
        <v/>
      </c>
      <c r="G52" s="210" t="str">
        <f>IF('C-CU'!BB9+'C-CU'!BH9=0,"",'C-CU'!BB9+'C-CU'!BH9&amp;"  "&amp;'C-L'!$AT$1)</f>
        <v/>
      </c>
      <c r="H52" s="210" t="str">
        <f>IF('C-CU'!BD9+'C-CU'!BJ9=0,"",'C-CU'!BD9+'C-CU'!BJ9&amp;"  "&amp;'C-L'!$AS$1)</f>
        <v/>
      </c>
      <c r="I52" s="314"/>
    </row>
    <row r="53" spans="1:10" ht="18" customHeight="1" x14ac:dyDescent="0.2">
      <c r="B53" s="152" t="str">
        <f>'     3-AE     '!L11</f>
        <v/>
      </c>
      <c r="C53" s="261" t="str">
        <f>'     3-AE     '!M11</f>
        <v/>
      </c>
      <c r="D53" s="319" t="str">
        <f>IF('     3-AE     '!O11=0,"",'     3-AE     '!O11&amp;" "&amp;'C-L'!$AR$1)</f>
        <v/>
      </c>
      <c r="E53" s="320" t="str">
        <f>IF('     3-AE     '!N11=0,"",'     3-AE     '!N11)</f>
        <v/>
      </c>
      <c r="F53" s="210" t="str">
        <f>IF('C-CU'!BE10+'C-CU'!BK10=0,"",'C-CU'!BE10+'C-CU'!BK10&amp;"  "&amp;'C-L'!$X$1)</f>
        <v/>
      </c>
      <c r="G53" s="210" t="str">
        <f>IF('C-CU'!BB10+'C-CU'!BH10=0,"",'C-CU'!BB10+'C-CU'!BH10&amp;"  "&amp;'C-L'!$AT$1)</f>
        <v/>
      </c>
      <c r="H53" s="210" t="str">
        <f>IF('C-CU'!BD10+'C-CU'!BJ10=0,"",'C-CU'!BD10+'C-CU'!BJ10&amp;"  "&amp;'C-L'!$AS$1)</f>
        <v/>
      </c>
      <c r="I53" s="314"/>
    </row>
    <row r="54" spans="1:10" ht="18" customHeight="1" x14ac:dyDescent="0.2">
      <c r="B54" s="152" t="str">
        <f>'     3-AE     '!L12</f>
        <v/>
      </c>
      <c r="C54" s="261" t="str">
        <f>'     3-AE     '!M12</f>
        <v/>
      </c>
      <c r="D54" s="319" t="str">
        <f>IF('     3-AE     '!O12=0,"",'     3-AE     '!O12&amp;" "&amp;'C-L'!$AR$1)</f>
        <v/>
      </c>
      <c r="E54" s="320" t="str">
        <f>IF('     3-AE     '!N12=0,"",'     3-AE     '!N12)</f>
        <v/>
      </c>
      <c r="F54" s="210" t="str">
        <f>IF('C-CU'!BE11+'C-CU'!BK11=0,"",'C-CU'!BE11+'C-CU'!BK11&amp;"  "&amp;'C-L'!$X$1)</f>
        <v/>
      </c>
      <c r="G54" s="210" t="str">
        <f>IF('C-CU'!BB11+'C-CU'!BH11=0,"",'C-CU'!BB11+'C-CU'!BH11&amp;"  "&amp;'C-L'!$AT$1)</f>
        <v/>
      </c>
      <c r="H54" s="210" t="str">
        <f>IF('C-CU'!BD11+'C-CU'!BJ11=0,"",'C-CU'!BD11+'C-CU'!BJ11&amp;"  "&amp;'C-L'!$AS$1)</f>
        <v/>
      </c>
      <c r="I54" s="314"/>
    </row>
    <row r="55" spans="1:10" ht="18" customHeight="1" x14ac:dyDescent="0.2">
      <c r="B55" s="152" t="str">
        <f>'     3-AE     '!L13</f>
        <v/>
      </c>
      <c r="C55" s="261" t="str">
        <f>'     3-AE     '!M13</f>
        <v/>
      </c>
      <c r="D55" s="319" t="str">
        <f>IF('     3-AE     '!O13=0,"",'     3-AE     '!O13&amp;" "&amp;'C-L'!$AR$1)</f>
        <v/>
      </c>
      <c r="E55" s="320" t="str">
        <f>IF('     3-AE     '!N13=0,"",'     3-AE     '!N13)</f>
        <v/>
      </c>
      <c r="F55" s="210" t="str">
        <f>IF('C-CU'!BE12+'C-CU'!BK12=0,"",'C-CU'!BE12+'C-CU'!BK12&amp;"  "&amp;'C-L'!$X$1)</f>
        <v/>
      </c>
      <c r="G55" s="210" t="str">
        <f>IF('C-CU'!BB12+'C-CU'!BH12=0,"",'C-CU'!BB12+'C-CU'!BH12&amp;"  "&amp;'C-L'!$AT$1)</f>
        <v/>
      </c>
      <c r="H55" s="210" t="str">
        <f>IF('C-CU'!BD12+'C-CU'!BJ12=0,"",'C-CU'!BD12+'C-CU'!BJ12&amp;"  "&amp;'C-L'!$AS$1)</f>
        <v/>
      </c>
      <c r="I55" s="314"/>
    </row>
    <row r="56" spans="1:10" ht="18" customHeight="1" x14ac:dyDescent="0.2">
      <c r="B56" s="152" t="str">
        <f>'     3-AE     '!L14</f>
        <v/>
      </c>
      <c r="C56" s="261" t="str">
        <f>'     3-AE     '!M14</f>
        <v/>
      </c>
      <c r="D56" s="319" t="str">
        <f>IF('     3-AE     '!O14=0,"",'     3-AE     '!O14&amp;" "&amp;'C-L'!$AR$1)</f>
        <v/>
      </c>
      <c r="E56" s="320" t="str">
        <f>IF('     3-AE     '!N14=0,"",'     3-AE     '!N14)</f>
        <v/>
      </c>
      <c r="F56" s="210" t="str">
        <f>IF('C-CU'!BE13+'C-CU'!BK13=0,"",'C-CU'!BE13+'C-CU'!BK13&amp;"  "&amp;'C-L'!$X$1)</f>
        <v/>
      </c>
      <c r="G56" s="210" t="str">
        <f>IF('C-CU'!BB13+'C-CU'!BH13=0,"",'C-CU'!BB13+'C-CU'!BH13&amp;"  "&amp;'C-L'!$AT$1)</f>
        <v/>
      </c>
      <c r="H56" s="210" t="str">
        <f>IF('C-CU'!BD13+'C-CU'!BJ13=0,"",'C-CU'!BD13+'C-CU'!BJ13&amp;"  "&amp;'C-L'!$AS$1)</f>
        <v/>
      </c>
      <c r="I56" s="314"/>
    </row>
    <row r="57" spans="1:10" ht="18" customHeight="1" x14ac:dyDescent="0.2">
      <c r="B57" s="152" t="str">
        <f>'     3-AE     '!L15</f>
        <v/>
      </c>
      <c r="C57" s="261" t="str">
        <f>'     3-AE     '!M15</f>
        <v/>
      </c>
      <c r="D57" s="319" t="str">
        <f>IF('     3-AE     '!O15=0,"",'     3-AE     '!O15&amp;" "&amp;'C-L'!$AR$1)</f>
        <v/>
      </c>
      <c r="E57" s="320" t="str">
        <f>IF('     3-AE     '!N15=0,"",'     3-AE     '!N15)</f>
        <v/>
      </c>
      <c r="F57" s="210" t="str">
        <f>IF('C-CU'!BE14+'C-CU'!BK14=0,"",'C-CU'!BE14+'C-CU'!BK14&amp;"  "&amp;'C-L'!$X$1)</f>
        <v/>
      </c>
      <c r="G57" s="210" t="str">
        <f>IF('C-CU'!BB14+'C-CU'!BH14=0,"",'C-CU'!BB14+'C-CU'!BH14&amp;"  "&amp;'C-L'!$AT$1)</f>
        <v/>
      </c>
      <c r="H57" s="210" t="str">
        <f>IF('C-CU'!BD14+'C-CU'!BJ14=0,"",'C-CU'!BD14+'C-CU'!BJ14&amp;"  "&amp;'C-L'!$AS$1)</f>
        <v/>
      </c>
      <c r="I57" s="314"/>
    </row>
    <row r="58" spans="1:10" ht="18" customHeight="1" x14ac:dyDescent="0.2">
      <c r="B58" s="152" t="str">
        <f>'     3-AE     '!L16</f>
        <v/>
      </c>
      <c r="C58" s="261" t="str">
        <f>'     3-AE     '!M16</f>
        <v/>
      </c>
      <c r="D58" s="319" t="str">
        <f>IF('     3-AE     '!O16=0,"",'     3-AE     '!O16&amp;" "&amp;'C-L'!$AR$1)</f>
        <v/>
      </c>
      <c r="E58" s="320" t="str">
        <f>IF('     3-AE     '!N16=0,"",'     3-AE     '!N16)</f>
        <v/>
      </c>
      <c r="F58" s="210" t="str">
        <f>IF('C-CU'!BE15+'C-CU'!BK15=0,"",'C-CU'!BE15+'C-CU'!BK15&amp;"  "&amp;'C-L'!$X$1)</f>
        <v/>
      </c>
      <c r="G58" s="210" t="str">
        <f>IF('C-CU'!BB15+'C-CU'!BH15=0,"",'C-CU'!BB15+'C-CU'!BH15&amp;"  "&amp;'C-L'!$AT$1)</f>
        <v/>
      </c>
      <c r="H58" s="210" t="str">
        <f>IF('C-CU'!BD15+'C-CU'!BJ15=0,"",'C-CU'!BD15+'C-CU'!BJ15&amp;"  "&amp;'C-L'!$AS$1)</f>
        <v/>
      </c>
      <c r="I58" s="314"/>
    </row>
    <row r="59" spans="1:10" ht="18" customHeight="1" x14ac:dyDescent="0.2">
      <c r="B59" s="152" t="str">
        <f>'     3-AE     '!L17</f>
        <v/>
      </c>
      <c r="C59" s="261" t="str">
        <f>'     3-AE     '!M17</f>
        <v/>
      </c>
      <c r="D59" s="319" t="str">
        <f>IF('     3-AE     '!O17=0,"",'     3-AE     '!O17&amp;" "&amp;'C-L'!$AR$1)</f>
        <v/>
      </c>
      <c r="E59" s="320" t="str">
        <f>IF('     3-AE     '!N17=0,"",'     3-AE     '!N17)</f>
        <v/>
      </c>
      <c r="F59" s="210" t="str">
        <f>IF('C-CU'!BE16+'C-CU'!BK16=0,"",'C-CU'!BE16+'C-CU'!BK16&amp;"  "&amp;'C-L'!$X$1)</f>
        <v/>
      </c>
      <c r="G59" s="210" t="str">
        <f>IF('C-CU'!BB16+'C-CU'!BH16=0,"",'C-CU'!BB16+'C-CU'!BH16&amp;"  "&amp;'C-L'!$AT$1)</f>
        <v/>
      </c>
      <c r="H59" s="210" t="str">
        <f>IF('C-CU'!BD16+'C-CU'!BJ16=0,"",'C-CU'!BD16+'C-CU'!BJ16&amp;"  "&amp;'C-L'!$AS$1)</f>
        <v/>
      </c>
      <c r="I59" s="314"/>
    </row>
    <row r="60" spans="1:10" ht="18" customHeight="1" x14ac:dyDescent="0.2">
      <c r="B60" s="152" t="str">
        <f>'     3-AE     '!L18</f>
        <v/>
      </c>
      <c r="C60" s="261" t="str">
        <f>'     3-AE     '!M18</f>
        <v/>
      </c>
      <c r="D60" s="319" t="str">
        <f>IF('     3-AE     '!O18=0,"",'     3-AE     '!O18&amp;" "&amp;'C-L'!$AR$1)</f>
        <v/>
      </c>
      <c r="E60" s="320" t="str">
        <f>IF('     3-AE     '!N18=0,"",'     3-AE     '!N18)</f>
        <v/>
      </c>
      <c r="F60" s="210" t="str">
        <f>IF('C-CU'!BE17+'C-CU'!BK17=0,"",'C-CU'!BE17+'C-CU'!BK17&amp;"  "&amp;'C-L'!$X$1)</f>
        <v/>
      </c>
      <c r="G60" s="210" t="str">
        <f>IF('C-CU'!BB17+'C-CU'!BH17=0,"",'C-CU'!BB17+'C-CU'!BH17&amp;"  "&amp;'C-L'!$AT$1)</f>
        <v/>
      </c>
      <c r="H60" s="210" t="str">
        <f>IF('C-CU'!BD17+'C-CU'!BJ17=0,"",'C-CU'!BD17+'C-CU'!BJ17&amp;"  "&amp;'C-L'!$AS$1)</f>
        <v/>
      </c>
      <c r="I60" s="314"/>
    </row>
    <row r="61" spans="1:10" ht="18" customHeight="1" x14ac:dyDescent="0.2">
      <c r="B61" s="152" t="str">
        <f>'     3-AE     '!L19</f>
        <v/>
      </c>
      <c r="C61" s="261" t="str">
        <f>'     3-AE     '!M19</f>
        <v/>
      </c>
      <c r="D61" s="319" t="str">
        <f>IF('     3-AE     '!O19=0,"",'     3-AE     '!O19&amp;" "&amp;'C-L'!$AR$1)</f>
        <v/>
      </c>
      <c r="E61" s="320" t="str">
        <f>IF('     3-AE     '!N19=0,"",'     3-AE     '!N19)</f>
        <v/>
      </c>
      <c r="F61" s="210" t="str">
        <f>IF('C-CU'!BE18+'C-CU'!BK18=0,"",'C-CU'!BE18+'C-CU'!BK18&amp;"  "&amp;'C-L'!$X$1)</f>
        <v/>
      </c>
      <c r="G61" s="210" t="str">
        <f>IF('C-CU'!BB18+'C-CU'!BH18=0,"",'C-CU'!BB18+'C-CU'!BH18&amp;"  "&amp;'C-L'!$AT$1)</f>
        <v/>
      </c>
      <c r="H61" s="210" t="str">
        <f>IF('C-CU'!BD18+'C-CU'!BJ18=0,"",'C-CU'!BD18+'C-CU'!BJ18&amp;"  "&amp;'C-L'!$AS$1)</f>
        <v/>
      </c>
      <c r="I61" s="314"/>
    </row>
    <row r="62" spans="1:10" ht="18" customHeight="1" x14ac:dyDescent="0.2">
      <c r="B62" s="152" t="str">
        <f>'     3-AE     '!L20</f>
        <v/>
      </c>
      <c r="C62" s="261" t="str">
        <f>'     3-AE     '!M20</f>
        <v/>
      </c>
      <c r="D62" s="319" t="str">
        <f>IF('     3-AE     '!O20=0,"",'     3-AE     '!O20&amp;" "&amp;'C-L'!$AR$1)</f>
        <v/>
      </c>
      <c r="E62" s="320" t="str">
        <f>IF('     3-AE     '!N20=0,"",'     3-AE     '!N20)</f>
        <v/>
      </c>
      <c r="F62" s="210" t="str">
        <f>IF('C-CU'!BE19+'C-CU'!BK19=0,"",'C-CU'!BE19+'C-CU'!BK19&amp;"  "&amp;'C-L'!$X$1)</f>
        <v/>
      </c>
      <c r="G62" s="210" t="str">
        <f>IF('C-CU'!BB19+'C-CU'!BH19=0,"",'C-CU'!BB19+'C-CU'!BH19&amp;"  "&amp;'C-L'!$AT$1)</f>
        <v/>
      </c>
      <c r="H62" s="210" t="str">
        <f>IF('C-CU'!BD19+'C-CU'!BJ19=0,"",'C-CU'!BD19+'C-CU'!BJ19&amp;"  "&amp;'C-L'!$AS$1)</f>
        <v/>
      </c>
      <c r="I62" s="314"/>
    </row>
    <row r="63" spans="1:10" ht="18" customHeight="1" thickBot="1" x14ac:dyDescent="0.25">
      <c r="B63" s="152" t="str">
        <f>'     3-AE     '!L21</f>
        <v/>
      </c>
      <c r="C63" s="261" t="str">
        <f>'     3-AE     '!M21</f>
        <v/>
      </c>
      <c r="D63" s="319" t="str">
        <f>IF('     3-AE     '!O21=0,"",'     3-AE     '!O21&amp;" "&amp;'C-L'!$AR$1)</f>
        <v/>
      </c>
      <c r="E63" s="320" t="str">
        <f>IF('     3-AE     '!N21=0,"",'     3-AE     '!N21)</f>
        <v/>
      </c>
      <c r="F63" s="210" t="str">
        <f>IF('C-CU'!BE20+'C-CU'!BK20=0,"",'C-CU'!BE20+'C-CU'!BK20&amp;"  "&amp;'C-L'!$X$1)</f>
        <v/>
      </c>
      <c r="G63" s="210" t="str">
        <f>IF('C-CU'!BB20+'C-CU'!BH20=0,"",'C-CU'!BB20+'C-CU'!BH20&amp;"  "&amp;'C-L'!$AT$1)</f>
        <v/>
      </c>
      <c r="H63" s="210" t="str">
        <f>IF('C-CU'!BD20+'C-CU'!BJ20=0,"",'C-CU'!BD20+'C-CU'!BJ20&amp;"  "&amp;'C-L'!$AS$1)</f>
        <v/>
      </c>
      <c r="I63" s="314"/>
    </row>
    <row r="64" spans="1:10" ht="20.100000000000001" customHeight="1" thickBot="1" x14ac:dyDescent="0.25">
      <c r="B64" s="153" t="s">
        <v>19</v>
      </c>
      <c r="C64" s="151"/>
      <c r="D64" s="303" t="str">
        <f>IF(D51="","",'C-L'!$CR$1&amp;":  "&amp;MAX('C-CU'!BA8:BA20,'C-CU'!BG8:BG20)&amp;" "&amp;'C-L'!$AR$1)</f>
        <v/>
      </c>
      <c r="E64" s="321">
        <f>IF(E51=0,"",SUM(E51:E63))</f>
        <v>0</v>
      </c>
      <c r="F64" s="303" t="str">
        <f>SUM('C-CU'!BE8:BE20,'C-CU'!BK8:BK20)&amp;"  "&amp;'C-L'!$X$1</f>
        <v>0  spans</v>
      </c>
      <c r="G64" s="303" t="str">
        <f>SUM('C-CU'!BB8:BB20,'C-CU'!BH8:BH20)&amp;""&amp;'C-L'!$AT$1</f>
        <v>0 veh.</v>
      </c>
      <c r="H64" s="303" t="str">
        <f>SUM('C-CU'!BD2:BD8,'C-CU'!BJ8:BJ20)&amp;""&amp;'C-L'!$AS$1</f>
        <v>0 prs.</v>
      </c>
      <c r="I64" s="315"/>
    </row>
    <row r="65" spans="2:9" x14ac:dyDescent="0.2">
      <c r="B65" s="127"/>
      <c r="C65" s="127"/>
      <c r="D65" s="123"/>
      <c r="E65" s="127"/>
      <c r="F65" s="127"/>
      <c r="G65" s="127"/>
      <c r="H65" s="127"/>
      <c r="I65" s="300"/>
    </row>
    <row r="66" spans="2:9" x14ac:dyDescent="0.2">
      <c r="B66" s="127"/>
      <c r="C66" s="127"/>
      <c r="D66" s="123"/>
      <c r="E66" s="127"/>
      <c r="F66" s="127"/>
      <c r="G66" s="127"/>
      <c r="H66" s="127"/>
      <c r="I66" s="300"/>
    </row>
    <row r="67" spans="2:9" x14ac:dyDescent="0.2">
      <c r="B67" s="127"/>
      <c r="C67" s="127"/>
      <c r="D67" s="123"/>
      <c r="E67" s="127"/>
      <c r="F67" s="127"/>
      <c r="G67" s="127"/>
      <c r="I67" s="300"/>
    </row>
    <row r="68" spans="2:9" x14ac:dyDescent="0.2">
      <c r="B68" s="127"/>
      <c r="C68" s="127"/>
      <c r="D68" s="123"/>
      <c r="E68" s="127"/>
      <c r="H68" s="127"/>
      <c r="I68" s="304">
        <f>IF('C-CU'!BA8=0,0,'C-CU'!BA8/'C-CU'!BD8)</f>
        <v>0</v>
      </c>
    </row>
    <row r="69" spans="2:9" x14ac:dyDescent="0.2">
      <c r="B69" s="127"/>
      <c r="C69" s="127"/>
      <c r="E69" s="127"/>
      <c r="F69" s="127"/>
      <c r="G69" s="127"/>
      <c r="H69" s="127"/>
    </row>
    <row r="70" spans="2:9" x14ac:dyDescent="0.2">
      <c r="B70" s="127"/>
      <c r="C70" s="127"/>
      <c r="D70" s="123"/>
      <c r="E70" s="127"/>
      <c r="F70" s="127"/>
      <c r="G70" s="127"/>
      <c r="H70" s="127"/>
      <c r="I70" s="300"/>
    </row>
    <row r="71" spans="2:9" x14ac:dyDescent="0.2">
      <c r="B71" s="127"/>
      <c r="C71" s="127"/>
      <c r="D71" s="123"/>
      <c r="E71" s="127"/>
      <c r="F71" s="127"/>
      <c r="G71" s="127"/>
      <c r="H71" s="127"/>
      <c r="I71" s="300"/>
    </row>
    <row r="72" spans="2:9" x14ac:dyDescent="0.2">
      <c r="B72" s="127"/>
      <c r="C72" s="127"/>
      <c r="D72" s="123"/>
      <c r="E72" s="127"/>
      <c r="F72" s="127"/>
      <c r="G72" s="127"/>
      <c r="H72" s="127"/>
      <c r="I72" s="300"/>
    </row>
    <row r="73" spans="2:9" x14ac:dyDescent="0.2">
      <c r="B73" s="300"/>
      <c r="C73" s="300"/>
      <c r="D73" s="123"/>
      <c r="E73" s="300"/>
      <c r="F73" s="300"/>
      <c r="G73" s="300"/>
      <c r="H73" s="300"/>
      <c r="I73" s="300"/>
    </row>
    <row r="74" spans="2:9" x14ac:dyDescent="0.2">
      <c r="B74" s="300"/>
      <c r="C74" s="300"/>
      <c r="D74" s="123"/>
      <c r="E74" s="300"/>
      <c r="F74" s="300"/>
      <c r="G74" s="300"/>
      <c r="H74" s="300"/>
      <c r="I74" s="300"/>
    </row>
    <row r="75" spans="2:9" x14ac:dyDescent="0.2">
      <c r="B75" s="300"/>
      <c r="C75" s="300"/>
      <c r="D75" s="123"/>
      <c r="E75" s="300"/>
      <c r="F75" s="300"/>
      <c r="G75" s="300"/>
      <c r="H75" s="300"/>
      <c r="I75" s="300"/>
    </row>
    <row r="76" spans="2:9" x14ac:dyDescent="0.2">
      <c r="B76" s="300"/>
      <c r="C76" s="300"/>
      <c r="D76" s="123"/>
      <c r="E76" s="300"/>
      <c r="F76" s="300"/>
      <c r="G76" s="300"/>
      <c r="H76" s="300"/>
      <c r="I76" s="300"/>
    </row>
    <row r="77" spans="2:9" x14ac:dyDescent="0.2">
      <c r="B77" s="300"/>
      <c r="C77" s="300"/>
      <c r="D77" s="123"/>
      <c r="E77" s="300"/>
      <c r="F77" s="300"/>
      <c r="G77" s="300"/>
      <c r="H77" s="300"/>
      <c r="I77" s="300"/>
    </row>
    <row r="98" spans="2:7" x14ac:dyDescent="0.2">
      <c r="B98" s="127"/>
      <c r="C98" s="127"/>
      <c r="D98" s="127"/>
      <c r="E98" s="127"/>
      <c r="F98" s="127"/>
      <c r="G98" s="127"/>
    </row>
    <row r="99" spans="2:7" x14ac:dyDescent="0.2">
      <c r="B99" s="127"/>
      <c r="C99" s="127"/>
      <c r="D99" s="127"/>
      <c r="E99" s="127"/>
      <c r="F99" s="127"/>
      <c r="G99" s="127"/>
    </row>
    <row r="100" spans="2:7" x14ac:dyDescent="0.2">
      <c r="B100" s="127"/>
      <c r="C100" s="127"/>
      <c r="D100" s="127"/>
      <c r="E100" s="127"/>
      <c r="F100" s="127"/>
      <c r="G100" s="127"/>
    </row>
    <row r="101" spans="2:7" x14ac:dyDescent="0.2">
      <c r="B101" s="127"/>
      <c r="C101" s="127"/>
      <c r="D101" s="127"/>
      <c r="E101" s="127"/>
      <c r="F101" s="127"/>
      <c r="G101" s="127"/>
    </row>
    <row r="102" spans="2:7" x14ac:dyDescent="0.2">
      <c r="B102" s="123"/>
      <c r="C102" s="123"/>
      <c r="D102" s="124"/>
      <c r="E102" s="123"/>
      <c r="F102" s="123"/>
      <c r="G102" s="123"/>
    </row>
    <row r="103" spans="2:7" x14ac:dyDescent="0.2">
      <c r="B103" s="127"/>
      <c r="C103" s="127"/>
      <c r="D103" s="127"/>
      <c r="E103" s="127"/>
      <c r="F103" s="127"/>
      <c r="G103" s="127"/>
    </row>
    <row r="104" spans="2:7" x14ac:dyDescent="0.2">
      <c r="B104" s="127"/>
      <c r="C104" s="127"/>
      <c r="D104" s="127"/>
      <c r="E104" s="127"/>
      <c r="F104" s="127"/>
      <c r="G104" s="127"/>
    </row>
    <row r="105" spans="2:7" x14ac:dyDescent="0.2">
      <c r="B105" s="127"/>
      <c r="C105" s="127"/>
      <c r="D105" s="127"/>
      <c r="E105" s="127"/>
      <c r="F105" s="127"/>
      <c r="G105" s="127"/>
    </row>
    <row r="106" spans="2:7" x14ac:dyDescent="0.2">
      <c r="B106" s="127"/>
      <c r="C106" s="127"/>
      <c r="D106" s="127"/>
      <c r="E106" s="127"/>
      <c r="F106" s="127"/>
      <c r="G106" s="127"/>
    </row>
    <row r="107" spans="2:7" x14ac:dyDescent="0.2">
      <c r="B107" s="123"/>
      <c r="C107" s="123"/>
      <c r="D107" s="124"/>
      <c r="E107" s="123"/>
      <c r="F107" s="123"/>
      <c r="G107" s="123"/>
    </row>
    <row r="108" spans="2:7" x14ac:dyDescent="0.2">
      <c r="B108" s="125"/>
      <c r="C108" s="125"/>
      <c r="D108" s="126"/>
      <c r="E108" s="125"/>
      <c r="F108" s="125"/>
      <c r="G108" s="125"/>
    </row>
    <row r="109" spans="2:7" x14ac:dyDescent="0.2">
      <c r="B109" s="127"/>
      <c r="C109" s="127"/>
      <c r="D109" s="127"/>
      <c r="E109" s="127"/>
      <c r="F109" s="127"/>
      <c r="G109" s="127"/>
    </row>
    <row r="110" spans="2:7" x14ac:dyDescent="0.2">
      <c r="B110" s="127"/>
      <c r="C110" s="127"/>
      <c r="D110" s="127"/>
      <c r="E110" s="127"/>
      <c r="F110" s="127"/>
      <c r="G110" s="127"/>
    </row>
    <row r="111" spans="2:7" x14ac:dyDescent="0.2">
      <c r="B111" s="127"/>
      <c r="C111" s="127"/>
      <c r="D111" s="127"/>
      <c r="E111" s="127"/>
      <c r="F111" s="127"/>
      <c r="G111" s="127"/>
    </row>
    <row r="112" spans="2:7" x14ac:dyDescent="0.2">
      <c r="B112" s="127"/>
      <c r="C112" s="127"/>
      <c r="D112" s="127"/>
      <c r="E112" s="127"/>
      <c r="F112" s="127"/>
      <c r="G112" s="127"/>
    </row>
    <row r="113" spans="2:7" x14ac:dyDescent="0.2">
      <c r="B113" s="125"/>
      <c r="C113" s="125"/>
      <c r="D113" s="126"/>
      <c r="E113" s="125"/>
      <c r="F113" s="125"/>
      <c r="G113" s="125"/>
    </row>
    <row r="114" spans="2:7" x14ac:dyDescent="0.2">
      <c r="B114" s="127"/>
      <c r="C114" s="127"/>
      <c r="D114" s="127"/>
      <c r="E114" s="127"/>
      <c r="F114" s="127"/>
      <c r="G114" s="127"/>
    </row>
    <row r="115" spans="2:7" x14ac:dyDescent="0.2">
      <c r="B115" s="127"/>
      <c r="C115" s="127"/>
      <c r="D115" s="127"/>
      <c r="E115" s="127"/>
      <c r="F115" s="127"/>
      <c r="G115" s="127"/>
    </row>
    <row r="116" spans="2:7" x14ac:dyDescent="0.2">
      <c r="B116" s="127"/>
      <c r="C116" s="127"/>
      <c r="D116" s="127"/>
      <c r="E116" s="127"/>
      <c r="F116" s="127"/>
      <c r="G116" s="127"/>
    </row>
    <row r="117" spans="2:7" x14ac:dyDescent="0.2">
      <c r="B117" s="127"/>
      <c r="C117" s="127"/>
      <c r="D117" s="127"/>
      <c r="E117" s="127"/>
      <c r="F117" s="127"/>
      <c r="G117" s="127"/>
    </row>
    <row r="118" spans="2:7" x14ac:dyDescent="0.2">
      <c r="B118" s="127"/>
      <c r="C118" s="127"/>
      <c r="D118" s="127"/>
      <c r="E118" s="127"/>
      <c r="F118" s="127"/>
      <c r="G118" s="127"/>
    </row>
    <row r="119" spans="2:7" x14ac:dyDescent="0.2">
      <c r="B119" s="127"/>
      <c r="C119" s="127"/>
      <c r="D119" s="127"/>
      <c r="E119" s="127"/>
      <c r="F119" s="127"/>
      <c r="G119" s="127"/>
    </row>
    <row r="120" spans="2:7" x14ac:dyDescent="0.2">
      <c r="B120" s="127"/>
      <c r="C120" s="127"/>
      <c r="D120" s="127"/>
      <c r="E120" s="127"/>
      <c r="F120" s="127"/>
      <c r="G120" s="127"/>
    </row>
    <row r="121" spans="2:7" x14ac:dyDescent="0.2">
      <c r="B121" s="127"/>
      <c r="C121" s="127"/>
      <c r="D121" s="127"/>
      <c r="E121" s="127"/>
      <c r="F121" s="127"/>
      <c r="G121" s="127"/>
    </row>
    <row r="122" spans="2:7" x14ac:dyDescent="0.2">
      <c r="B122" s="127"/>
      <c r="C122" s="127"/>
      <c r="D122" s="127"/>
      <c r="E122" s="127"/>
      <c r="F122" s="127"/>
      <c r="G122" s="127"/>
    </row>
    <row r="123" spans="2:7" x14ac:dyDescent="0.2">
      <c r="B123" s="127"/>
      <c r="C123" s="127"/>
      <c r="D123" s="127"/>
      <c r="E123" s="127"/>
      <c r="F123" s="127"/>
      <c r="G123" s="127"/>
    </row>
    <row r="124" spans="2:7" x14ac:dyDescent="0.2">
      <c r="B124" s="127"/>
      <c r="C124" s="127"/>
      <c r="D124" s="127"/>
      <c r="E124" s="127"/>
      <c r="F124" s="127"/>
      <c r="G124" s="127"/>
    </row>
    <row r="125" spans="2:7" x14ac:dyDescent="0.2">
      <c r="B125" s="127"/>
      <c r="C125" s="127"/>
      <c r="D125" s="127"/>
      <c r="E125" s="127"/>
      <c r="F125" s="127"/>
      <c r="G125" s="127"/>
    </row>
    <row r="126" spans="2:7" x14ac:dyDescent="0.2">
      <c r="B126" s="127"/>
      <c r="C126" s="127"/>
      <c r="D126" s="127"/>
      <c r="E126" s="127"/>
      <c r="F126" s="127"/>
      <c r="G126" s="127"/>
    </row>
    <row r="127" spans="2:7" x14ac:dyDescent="0.2">
      <c r="B127" s="127"/>
      <c r="C127" s="127"/>
      <c r="D127" s="127"/>
      <c r="E127" s="127"/>
      <c r="F127" s="127"/>
      <c r="G127" s="127"/>
    </row>
    <row r="128" spans="2:7" x14ac:dyDescent="0.2">
      <c r="B128" s="127"/>
      <c r="C128" s="127"/>
      <c r="D128" s="127"/>
      <c r="E128" s="127"/>
      <c r="F128" s="127"/>
      <c r="G128" s="127"/>
    </row>
    <row r="129" spans="2:7" x14ac:dyDescent="0.2">
      <c r="B129" s="127"/>
      <c r="C129" s="127"/>
      <c r="D129" s="127"/>
      <c r="E129" s="127"/>
      <c r="F129" s="127"/>
      <c r="G129" s="127"/>
    </row>
    <row r="130" spans="2:7" x14ac:dyDescent="0.2">
      <c r="B130" s="127"/>
      <c r="C130" s="127"/>
      <c r="D130" s="127"/>
      <c r="E130" s="127"/>
      <c r="F130" s="127"/>
      <c r="G130" s="127"/>
    </row>
    <row r="131" spans="2:7" x14ac:dyDescent="0.2">
      <c r="B131" s="127"/>
      <c r="C131" s="127"/>
      <c r="D131" s="127"/>
      <c r="E131" s="127"/>
      <c r="F131" s="127"/>
      <c r="G131" s="127"/>
    </row>
    <row r="132" spans="2:7" x14ac:dyDescent="0.2">
      <c r="B132" s="127"/>
      <c r="C132" s="127"/>
      <c r="D132" s="127"/>
      <c r="E132" s="127"/>
      <c r="F132" s="127"/>
      <c r="G132" s="127"/>
    </row>
    <row r="133" spans="2:7" x14ac:dyDescent="0.2">
      <c r="B133" s="127"/>
      <c r="C133" s="127"/>
      <c r="D133" s="127"/>
      <c r="E133" s="127"/>
      <c r="F133" s="127"/>
      <c r="G133" s="127"/>
    </row>
    <row r="134" spans="2:7" x14ac:dyDescent="0.2">
      <c r="B134" s="127"/>
      <c r="C134" s="127"/>
      <c r="D134" s="127"/>
      <c r="E134" s="127"/>
      <c r="F134" s="127"/>
      <c r="G134" s="127"/>
    </row>
    <row r="135" spans="2:7" x14ac:dyDescent="0.2">
      <c r="B135" s="123"/>
      <c r="C135" s="123"/>
      <c r="D135" s="124"/>
      <c r="E135" s="123"/>
      <c r="F135" s="123"/>
      <c r="G135" s="123"/>
    </row>
    <row r="136" spans="2:7" x14ac:dyDescent="0.2">
      <c r="B136" s="123"/>
      <c r="C136" s="123"/>
      <c r="D136" s="124"/>
      <c r="E136" s="123"/>
      <c r="F136" s="123"/>
      <c r="G136" s="123"/>
    </row>
    <row r="137" spans="2:7" x14ac:dyDescent="0.2">
      <c r="B137" s="123"/>
      <c r="C137" s="123"/>
      <c r="D137" s="124"/>
      <c r="E137" s="123"/>
      <c r="F137" s="123"/>
      <c r="G137" s="123"/>
    </row>
    <row r="139" spans="2:7" x14ac:dyDescent="0.2">
      <c r="B139" s="127"/>
      <c r="C139" s="127"/>
      <c r="D139" s="127"/>
      <c r="E139" s="127"/>
      <c r="F139" s="127"/>
      <c r="G139" s="127"/>
    </row>
    <row r="140" spans="2:7" x14ac:dyDescent="0.2">
      <c r="B140" s="127"/>
      <c r="C140" s="127"/>
      <c r="D140" s="127"/>
      <c r="E140" s="127"/>
      <c r="F140" s="127"/>
      <c r="G140" s="127"/>
    </row>
    <row r="141" spans="2:7" x14ac:dyDescent="0.2">
      <c r="B141" s="125"/>
      <c r="C141" s="125"/>
      <c r="D141" s="126"/>
      <c r="E141" s="125"/>
      <c r="F141" s="125"/>
      <c r="G141" s="125"/>
    </row>
    <row r="142" spans="2:7" x14ac:dyDescent="0.2">
      <c r="B142" s="125"/>
      <c r="C142" s="125"/>
      <c r="D142" s="126"/>
      <c r="E142" s="125"/>
      <c r="F142" s="125"/>
      <c r="G142" s="125"/>
    </row>
    <row r="143" spans="2:7" x14ac:dyDescent="0.2">
      <c r="B143" s="125"/>
      <c r="C143" s="125"/>
      <c r="D143" s="126"/>
      <c r="E143" s="125"/>
      <c r="F143" s="125"/>
      <c r="G143" s="125"/>
    </row>
  </sheetData>
  <sheetProtection selectLockedCells="1"/>
  <mergeCells count="3">
    <mergeCell ref="F4:G4"/>
    <mergeCell ref="B2:H2"/>
    <mergeCell ref="B1:H1"/>
  </mergeCells>
  <phoneticPr fontId="0" type="noConversion"/>
  <pageMargins left="0.70000000000000007" right="0.70000000000000007" top="0.75000000000000011" bottom="0.75000000000000011" header="0.30000000000000004" footer="0.30000000000000004"/>
  <pageSetup paperSize="9" orientation="portrait"/>
  <ignoredErrors>
    <ignoredError sqref="D64:E64 D39:H46 F21:H38 G64:H64 F63:H63 F64" emptyCellReferenc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dimension ref="A1:DF6"/>
  <sheetViews>
    <sheetView showGridLines="0" showOutlineSymbols="0" topLeftCell="AK1" zoomScaleNormal="150" zoomScalePageLayoutView="150" workbookViewId="0">
      <selection activeCell="CX7" sqref="CX7"/>
    </sheetView>
  </sheetViews>
  <sheetFormatPr baseColWidth="10" defaultColWidth="10.85546875" defaultRowHeight="12.75" x14ac:dyDescent="0.2"/>
  <cols>
    <col min="1" max="1" width="10.85546875" style="105"/>
    <col min="2" max="4" width="10.85546875" style="56"/>
    <col min="5" max="5" width="15.140625" style="56" customWidth="1"/>
    <col min="6" max="6" width="15" style="56" customWidth="1"/>
    <col min="7" max="7" width="13.42578125" style="56" customWidth="1"/>
    <col min="8" max="17" width="10.85546875" style="56"/>
    <col min="18" max="18" width="16.140625" style="56" customWidth="1"/>
    <col min="19" max="20" width="10.85546875" style="56"/>
    <col min="21" max="21" width="14" style="56" customWidth="1"/>
    <col min="22" max="28" width="10.85546875" style="56"/>
    <col min="29" max="29" width="12" style="56" customWidth="1"/>
    <col min="30" max="30" width="13.28515625" style="56" customWidth="1"/>
    <col min="31" max="31" width="14" style="56" customWidth="1"/>
    <col min="32" max="32" width="18.42578125" style="56" customWidth="1"/>
    <col min="33" max="33" width="16.85546875" style="56" customWidth="1"/>
    <col min="34" max="34" width="15.28515625" style="56" customWidth="1"/>
    <col min="35" max="37" width="10.85546875" style="56"/>
    <col min="38" max="38" width="14.42578125" style="56" customWidth="1"/>
    <col min="39" max="39" width="14.7109375" style="56" customWidth="1"/>
    <col min="40" max="49" width="10.85546875" style="56"/>
    <col min="50" max="50" width="12.85546875" style="56" customWidth="1"/>
    <col min="51" max="51" width="21.42578125" style="56" customWidth="1"/>
    <col min="52" max="52" width="16.28515625" style="56" customWidth="1"/>
    <col min="53" max="53" width="54.140625" style="56" customWidth="1"/>
    <col min="54" max="54" width="58.28515625" style="56" customWidth="1"/>
    <col min="55" max="55" width="91.140625" style="56" customWidth="1"/>
    <col min="56" max="56" width="91.85546875" style="56" customWidth="1"/>
    <col min="57" max="57" width="47.28515625" style="56" customWidth="1"/>
    <col min="58" max="58" width="49" style="56" customWidth="1"/>
    <col min="59" max="59" width="28" style="56" customWidth="1"/>
    <col min="60" max="60" width="32.140625" style="56" customWidth="1"/>
    <col min="61" max="61" width="28" style="56" customWidth="1"/>
    <col min="62" max="62" width="30.7109375" style="56" customWidth="1"/>
    <col min="63" max="64" width="10.85546875" style="56"/>
    <col min="65" max="65" width="19.28515625" style="56" customWidth="1"/>
    <col min="66" max="66" width="10.85546875" style="56"/>
    <col min="67" max="67" width="14.140625" style="56" customWidth="1"/>
    <col min="68" max="68" width="14.85546875" style="56" customWidth="1"/>
    <col min="69" max="69" width="15.7109375" style="56" customWidth="1"/>
    <col min="70" max="70" width="14" style="56" customWidth="1"/>
    <col min="71" max="74" width="10.85546875" style="56"/>
    <col min="75" max="75" width="16.85546875" style="56" customWidth="1"/>
    <col min="76" max="76" width="21.85546875" style="56" customWidth="1"/>
    <col min="77" max="77" width="16.85546875" style="56" customWidth="1"/>
    <col min="78" max="78" width="13.140625" style="56" customWidth="1"/>
    <col min="79" max="87" width="10.85546875" style="56"/>
    <col min="88" max="88" width="15.42578125" style="56" customWidth="1"/>
    <col min="89" max="89" width="10.85546875" style="56"/>
    <col min="90" max="90" width="12.42578125" style="56" customWidth="1"/>
    <col min="91" max="91" width="18" style="56" customWidth="1"/>
    <col min="92" max="100" width="10.85546875" style="56"/>
    <col min="101" max="101" width="29" style="56" customWidth="1"/>
    <col min="102" max="16384" width="10.85546875" style="56"/>
  </cols>
  <sheetData>
    <row r="1" spans="1:110" ht="90" customHeight="1" x14ac:dyDescent="0.2">
      <c r="A1" s="55" t="str">
        <f>IF('C-P'!$E$21=1,A2,IF('C-P'!$E$21=2,A3,IF('C-P'!$E$21=3,A4,IF('C-P'!$E$21=4,A5,A6))))</f>
        <v>English</v>
      </c>
      <c r="B1" s="55" t="str">
        <f>IF('C-P'!$E$21=1,B2,IF('C-P'!$E$21=2,B3,IF('C-P'!$E$21=3,B4,IF('C-P'!$E$21=4,B5,B6))))</f>
        <v>Resort name</v>
      </c>
      <c r="C1" s="55" t="str">
        <f>IF('C-P'!$E$21=1,C2,IF('C-P'!$E$21=2,C3,IF('C-P'!$E$21=3,C4,IF('C-P'!$E$21=4,C5,C6))))</f>
        <v>Lift name</v>
      </c>
      <c r="D1" s="55" t="str">
        <f>IF('C-P'!$E$21=1,D2,IF('C-P'!$E$21=2,D3,IF('C-P'!$E$21=3,D4,IF('C-P'!$E$21=4,D5,D6))))</f>
        <v>Lift type</v>
      </c>
      <c r="E1" s="55" t="str">
        <f>IF('C-P'!$E$21=1,E2,IF('C-P'!$E$21=2,E3,IF('C-P'!$E$21=3,E4,IF('C-P'!$E$21=4,E5,E6))))</f>
        <v xml:space="preserve">Vehicle capacity (maximum) </v>
      </c>
      <c r="F1" s="55" t="str">
        <f>IF('C-P'!$E$21=1,F2,IF('C-P'!$E$21=2,F3,IF('C-P'!$E$21=3,F4,IF('C-P'!$E$21=4,F5,F6))))</f>
        <v>Maximum number of evacuated persons</v>
      </c>
      <c r="G1" s="55" t="str">
        <f>IF('C-P'!$E$21=1,G2,IF('C-P'!$E$21=2,G3,IF('C-P'!$E$21=3,G4,IF('C-P'!$E$21=4,G5,G6))))</f>
        <v>Distance between vehicles (on average)</v>
      </c>
      <c r="H1" s="55" t="str">
        <f>IF('C-P'!$E$21=1,H2,IF('C-P'!$E$21=2,H3,IF('C-P'!$E$21=3,H4,IF('C-P'!$E$21=4,H5,H6))))</f>
        <v>Uphill strand</v>
      </c>
      <c r="I1" s="55" t="str">
        <f>IF('C-P'!$E$21=1,I2,IF('C-P'!$E$21=2,I3,IF('C-P'!$E$21=3,I4,IF('C-P'!$E$21=4,I5,I6))))</f>
        <v>Downhill strand</v>
      </c>
      <c r="J1" s="55" t="str">
        <f>IF('C-P'!$E$21=1,J2,IF('C-P'!$E$21=2,J3,IF('C-P'!$E$21=3,J4,IF('C-P'!$E$21=4,J5,J6))))</f>
        <v>Evacuation time of the span</v>
      </c>
      <c r="K1" s="55" t="str">
        <f>IF('C-P'!$E$21=1,K2,IF('C-P'!$E$21=2,K3,IF('C-P'!$E$21=3,K4,IF('C-P'!$E$21=4,K5,K6))))</f>
        <v>Filling of the up-coming strand</v>
      </c>
      <c r="L1" s="55" t="str">
        <f>IF('C-P'!$E$21=1,L2,IF('C-P'!$E$21=2,L3,IF('C-P'!$E$21=3,L4,IF('C-P'!$E$21=4,L5,L6))))</f>
        <v>Filling of the down-going strand</v>
      </c>
      <c r="M1" s="55" t="str">
        <f>IF('C-P'!$E$21=1,M2,IF('C-P'!$E$21=2,M3,IF('C-P'!$E$21=3,M4,IF('C-P'!$E$21=4,M5,M6))))</f>
        <v>Team</v>
      </c>
      <c r="N1" s="55" t="str">
        <f>IF('C-P'!$E$21=1,N2,IF('C-P'!$E$21=2,N3,IF('C-P'!$E$21=3,N4,IF('C-P'!$E$21=4,N5,N6))))</f>
        <v>Team number</v>
      </c>
      <c r="O1" s="55" t="str">
        <f>IF('C-P'!$E$21=1,O2,IF('C-P'!$E$21=2,O3,IF('C-P'!$E$21=3,O4,IF('C-P'!$E$21=4,O5,O6))))</f>
        <v>Date</v>
      </c>
      <c r="P1" s="55" t="str">
        <f>IF('C-P'!$E$21=1,P2,IF('C-P'!$E$21=2,P3,IF('C-P'!$E$21=3,P4,IF('C-P'!$E$21=4,P5,P6))))</f>
        <v>Enter lift data</v>
      </c>
      <c r="Q1" s="55" t="str">
        <f>IF('C-P'!$E$21=1,Q2,IF('C-P'!$E$21=2,Q3,IF('C-P'!$E$21=3,Q4,IF('C-P'!$E$21=4,Q5,Q6))))</f>
        <v>Maximum number of vehicles to evacuate</v>
      </c>
      <c r="R1" s="55" t="str">
        <f>IF('C-P'!$E$21=1,R2,IF('C-P'!$E$21=2,R3,IF('C-P'!$E$21=3,R4,IF('C-P'!$E$21=4,R5,R6))))</f>
        <v>Maximum number of evacuated vehicles  by team</v>
      </c>
      <c r="S1" s="55" t="str">
        <f>IF('C-P'!$E$21=1,S2,IF('C-P'!$E$21=2,S3,IF('C-P'!$E$21=3,S4,IF('C-P'!$E$21=4,S5,S6))))</f>
        <v>Number of vehicles by span</v>
      </c>
      <c r="T1" s="55" t="str">
        <f>IF('C-P'!$E$21=1,T2,IF('C-P'!$E$21=2,T3,IF('C-P'!$E$21=3,T4,IF('C-P'!$E$21=4,T5,T6))))</f>
        <v>Number of towers</v>
      </c>
      <c r="U1" s="55" t="str">
        <f>IF('C-P'!$E$21=1,U2,IF('C-P'!$E$21=2,U3,IF('C-P'!$E$21=3,U4,IF('C-P'!$E$21=4,U5,U6))))</f>
        <v>Number of the tower at the start of the span</v>
      </c>
      <c r="V1" s="55" t="str">
        <f>IF('C-P'!$E$21=1,V2,IF('C-P'!$E$21=2,V3,IF('C-P'!$E$21=3,V4,IF('C-P'!$E$21=4,V5,V6))))</f>
        <v>Tower at the start</v>
      </c>
      <c r="W1" s="55" t="str">
        <f>IF('C-P'!$E$21=1,W2,IF('C-P'!$E$21=2,W3,IF('C-P'!$E$21=3,W4,IF('C-P'!$E$21=4,W5,W6))))</f>
        <v>Number of the span</v>
      </c>
      <c r="X1" s="55" t="str">
        <f>IF('C-P'!$E$21=1,X2,IF('C-P'!$E$21=2,X3,IF('C-P'!$E$21=3,X4,IF('C-P'!$E$21=4,X5,X6))))</f>
        <v>spans</v>
      </c>
      <c r="Y1" s="55" t="str">
        <f>IF('C-P'!$E$21=1,Y2,IF('C-P'!$E$21=2,Y3,IF('C-P'!$E$21=3,Y4,IF('C-P'!$E$21=4,Y5,Y6))))</f>
        <v>Number of evacuated spans</v>
      </c>
      <c r="Z1" s="55" t="str">
        <f>IF('C-P'!$E$21=1,Z2,IF('C-P'!$E$21=2,Z3,IF('C-P'!$E$21=3,Z4,IF('C-P'!$E$21=4,Z5,Z6))))</f>
        <v>Span inclined length</v>
      </c>
      <c r="AA1" s="55" t="str">
        <f>IF('C-P'!$E$21=1,AA2,IF('C-P'!$E$21=2,AA3,IF('C-P'!$E$21=3,AA4,IF('C-P'!$E$21=4,AA5,AA6))))</f>
        <v>Total inclined length</v>
      </c>
      <c r="AB1" s="55" t="str">
        <f>IF('C-P'!$E$21=1,AB2,IF('C-P'!$E$21=2,AB3,IF('C-P'!$E$21=3,AB4,IF('C-P'!$E$21=4,AB5,AB6))))</f>
        <v>Section</v>
      </c>
      <c r="AC1" s="55" t="str">
        <f>IF('C-P'!$E$21=1,AC2,IF('C-P'!$E$21=2,AC3,IF('C-P'!$E$21=3,AC4,IF('C-P'!$E$21=4,AC5,AC6))))</f>
        <v>Length of the section</v>
      </c>
      <c r="AD1" s="55" t="str">
        <f>IF('C-P'!$E$21=1,AD2,IF('C-P'!$E$21=2,AD3,IF('C-P'!$E$21=3,AD4,IF('C-P'!$E$21=4,AD5,AD6))))</f>
        <v>Access time to the tower and to arrive to the first vehicle</v>
      </c>
      <c r="AE1" s="55" t="str">
        <f>IF('C-P'!$E$21=1,AE2,IF('C-P'!$E$21=2,AE3,IF('C-P'!$E$21=3,AE4,IF('C-P'!$E$21=4,AE5,AE6))))</f>
        <v>Average time to evacuate a full vehicle and to go to the next one</v>
      </c>
      <c r="AF1" s="55" t="str">
        <f>IF('C-P'!$E$21=1,AF2,IF('C-P'!$E$21=2,AF3,IF('C-P'!$E$21=3,AF4,IF('C-P'!$E$21=4,AF5,AF6))))</f>
        <v>Time to cross a tower between two vehicles of the same section</v>
      </c>
      <c r="AG1" s="55" t="str">
        <f>IF('C-P'!$E$21=1,AG2,IF('C-P'!$E$21=2,AG3,IF('C-P'!$E$21=3,AG4,IF('C-P'!$E$21=4,AG5,AG6))))</f>
        <v>Maximum time to bring back the last passenger to a safe place</v>
      </c>
      <c r="AH1" s="55" t="str">
        <f>IF('C-P'!$E$21=1,AH2,IF('C-P'!$E$21=2,AH3,IF('C-P'!$E$21=3,AH4,IF('C-P'!$E$21=4,AH5,AH6))))</f>
        <v>Time to reach next vehicle (or the first one)</v>
      </c>
      <c r="AI1" s="55" t="str">
        <f>IF('C-P'!$E$21=1,AI2,IF('C-P'!$E$21=2,AI3,IF('C-P'!$E$21=3,AI4,IF('C-P'!$E$21=4,AI5,AI6))))</f>
        <v>Evacuated person average time</v>
      </c>
      <c r="AJ1" s="55" t="str">
        <f>IF('C-P'!$E$21=1,AJ2,IF('C-P'!$E$21=2,AJ3,IF('C-P'!$E$21=3,AJ4,IF('C-P'!$E$21=4,AJ5,AJ6))))</f>
        <v>Evacuation limit time</v>
      </c>
      <c r="AK1" s="55" t="str">
        <f>IF('C-P'!$E$21=1,AK2,IF('C-P'!$E$21=2,AK3,IF('C-P'!$E$21=3,AK4,IF('C-P'!$E$21=4,AK5,AK6))))</f>
        <v xml:space="preserve">Duration of the span evacuation  </v>
      </c>
      <c r="AL1" s="55" t="str">
        <f>IF('C-P'!$E$21=1,AL2,IF('C-P'!$E$21=2,AL3,IF('C-P'!$E$21=3,AL4,IF('C-P'!$E$21=4,AL5,AL6))))</f>
        <v xml:space="preserve">Evacuated duration of the last passenger </v>
      </c>
      <c r="AM1" s="55" t="str">
        <f>IF('C-P'!$E$21=1,AM2,IF('C-P'!$E$21=2,AM3,IF('C-P'!$E$21=3,AM4,IF('C-P'!$E$21=4,AM5,AM6))))</f>
        <v>Margin/Evacuation maximum duration</v>
      </c>
      <c r="AN1" s="55" t="str">
        <f>IF('C-P'!$E$21=1,AN2,IF('C-P'!$E$21=2,AN3,IF('C-P'!$E$21=3,AN4,IF('C-P'!$E$21=4,AN5,AN6))))</f>
        <v>Lower station</v>
      </c>
      <c r="AO1" s="55" t="str">
        <f>IF('C-P'!$E$21=1,AO2,IF('C-P'!$E$21=2,AO3,IF('C-P'!$E$21=3,AO4,IF('C-P'!$E$21=4,AO5,AO6))))</f>
        <v>Top station</v>
      </c>
      <c r="AP1" s="55" t="str">
        <f>IF('C-P'!$E$21=1,AP2,IF('C-P'!$E$21=2,AP3,IF('C-P'!$E$21=3,AP4,IF('C-P'!$E$21=4,AP5,AP6))))</f>
        <v>The line</v>
      </c>
      <c r="AQ1" s="55" t="str">
        <f>IF('C-P'!$E$21=1,AQ2,IF('C-P'!$E$21=2,AQ3,IF('C-P'!$E$21=3,AQ4,IF('C-P'!$E$21=4,AQ5,AQ6))))</f>
        <v>Seats</v>
      </c>
      <c r="AR1" s="55" t="str">
        <f>IF('C-P'!$E$21=1,AR2,IF('C-P'!$E$21=2,AR3,IF('C-P'!$E$21=3,AR4,IF('C-P'!$E$21=4,AR5,AR6))))</f>
        <v xml:space="preserve"> mn.</v>
      </c>
      <c r="AS1" s="55" t="str">
        <f>IF('C-P'!$E$21=1,AS2,IF('C-P'!$E$21=2,AS3,IF('C-P'!$E$21=3,AS4,IF('C-P'!$E$21=4,AS5,AS6))))</f>
        <v xml:space="preserve"> prs.</v>
      </c>
      <c r="AT1" s="55" t="str">
        <f>IF('C-P'!$E$21=1,AT2,IF('C-P'!$E$21=2,AT3,IF('C-P'!$E$21=3,AT4,IF('C-P'!$E$21=4,AT5,AT6))))</f>
        <v xml:space="preserve"> veh.</v>
      </c>
      <c r="AU1" s="55" t="str">
        <f>IF('C-P'!$E$21=1,AU2,IF('C-P'!$E$21=2,AU3,IF('C-P'!$E$21=3,AU4,IF('C-P'!$E$21=4,AU5,AU6))))</f>
        <v>CLF</v>
      </c>
      <c r="AV1" s="55" t="str">
        <f>IF('C-P'!$E$21=1,AV2,IF('C-P'!$E$21=2,AV3,IF('C-P'!$E$21=3,AV4,IF('C-P'!$E$21=4,AV5,AV6))))</f>
        <v>CLD</v>
      </c>
      <c r="AW1" s="55" t="str">
        <f>IF('C-P'!$E$21=1,AW2,IF('C-P'!$E$21=2,AW3,IF('C-P'!$E$21=3,AW4,IF('C-P'!$E$21=4,AW5,AW6))))</f>
        <v>MGD</v>
      </c>
      <c r="AX1" s="55" t="str">
        <f>IF('C-P'!$E$21=1,AX2,IF('C-P'!$E$21=2,AX3,IF('C-P'!$E$21=3,AX4,IF('C-P'!$E$21=4,AX5,AX6))))</f>
        <v>Definitions</v>
      </c>
      <c r="AY1" s="55" t="str">
        <f>IF('C-P'!$E$21=1,AY2,IF('C-P'!$E$21=2,AY3,IF('C-P'!$E$21=3,AY4,IF('C-P'!$E$21=4,AY5,AY6))))</f>
        <v>This calculation sheet is planned for a maximum of 25 towers (26 spans) and 12 teams</v>
      </c>
      <c r="AZ1" s="55" t="str">
        <f>IF('C-P'!$E$21=1,AZ2,IF('C-P'!$E$21=2,AZ3,IF('C-P'!$E$21=3,AZ4,IF('C-P'!$E$21=4,AZ5,AZ6))))</f>
        <v xml:space="preserve">This calculation sheet is set for EXCEL literate users </v>
      </c>
      <c r="BA1" s="55" t="str">
        <f>IF('C-P'!$E$21=1,BA2,IF('C-P'!$E$21=2,BA3,IF('C-P'!$E$21=3,BA4,IF('C-P'!$E$21=4,BA5,BA6))))</f>
        <v>The calculation of the program starts with the general data on the sheet 1-DG. Data should be introduced.
There is a listbox of values ​​that can be used as a reference.
On sheet 2-DL,line data, inclined span length and times T1, T2, T3, T4 should be introduced, considering:</v>
      </c>
      <c r="BB1" s="55" t="str">
        <f>IF('C-P'!$E$21=1,BB2,IF('C-P'!$E$21=2,BB3,IF('C-P'!$E$21=3,BB4,IF('C-P'!$E$21=4,BB5,BB6))))</f>
        <v>The time depends on:
- dissplacement way, eg with skis or grooming machine (snowcat)
- Difficult access to the tower, eg avalanche area, rocky or steep zone
- Difficult access to the first vehicle to evacuate, ie a height of 50 m requires use recovery platforms
- Place of departure, eg closest resort, resort base, the other side of the resort ...</v>
      </c>
      <c r="BC1" s="55" t="str">
        <f>IF('C-P'!$E$21=1,BC2,IF('C-P'!$E$21=2,BC3,IF('C-P'!$E$21=3,BC4,IF('C-P'!$E$21=4,BC5,BC6))))</f>
        <v>The time depends on:
- Material used for evacuation, eg vertical evacuation: RG10, Chouca, D09 ...
- Type of vehicle, eg chair or booth
- Height under the vehicle, eg a 80m descent of a passenger is managed differently from 15m
- Number of passengers per vehicle
Consider passenger equipment (skis, mountain bike ...)
Testing time and/or operator experience might be used to get the estimated time</v>
      </c>
      <c r="BD1" s="55" t="str">
        <f>IF('C-P'!$E$21=1,BD2,IF('C-P'!$E$21=2,BD3,IF('C-P'!$E$21=3,BD4,IF('C-P'!$E$21=4,BD5,BD6))))</f>
        <v>The time depends on:
- the material used for evacuation, eg vertical evacuation: RG10, Chouca, D09 ...
- the type of vehicle, eg chair or cabin
- the lift line height under the vehicle, eg at 80 m height lowering of a passenger is managed differently from 15 m.
- the number of passenger per vehicle, eg the%% uphill and downhill influence the average time of each branch (ascending or descending)
Considerer passenger equipment (skis, mountain bike ...)
Testing time and/or operator experience might be used to get the estimated time
Time = duration of the evacuation of a complete vehicle</v>
      </c>
      <c r="BE1" s="55" t="str">
        <f>IF('C-P'!$E$21=1,BE2,IF('C-P'!$E$21=2,BE3,IF('C-P'!$E$21=3,BE4,IF('C-P'!$E$21=4,BE5,BE6))))</f>
        <v xml:space="preserve">The time changes depending on:
- Displace mode, eg walking, grooming machine ...
- The trail difficulty to the safe place, eg avalanch area or cliff zone or steep area
- Of the day time of the evacuation, eg night return
</v>
      </c>
      <c r="BF1" s="55" t="str">
        <f>IF('C-P'!$E$21=1,BF2,IF('C-P'!$E$21=2,BF3,IF('C-P'!$E$21=3,BF4,IF('C-P'!$E$21=4,BF5,BF6))))</f>
        <v>The values ​​of T2 and T3 can be the same for all spans or have a different value for each of them.
If the values ​​are equal, choose from the listbox "identical spans" and enter the appropriate value from the listbox below.
If the values ​​are different, entry them on the lower cells, one for each span</v>
      </c>
      <c r="BG1" s="55" t="str">
        <f>IF('C-P'!$E$21=1,BG2,IF('C-P'!$E$21=2,BG3,IF('C-P'!$E$21=3,BG4,IF('C-P'!$E$21=4,BG5,BG6))))</f>
        <v>If you have not entered all the data on sheet 1-DG, an error message appears on sheet 2-DL.</v>
      </c>
      <c r="BH1" s="55" t="str">
        <f>IF('C-P'!$E$21=1,BH2,IF('C-P'!$E$21=2,BH3,IF('C-P'!$E$21=3,BH4,IF('C-P'!$E$21=4,BH5,BH6))))</f>
        <v>The sheet 3-AE, assignment of equipment, calculates the distribution of equipment per sections.
The input values ​​can be the one displayed in the program or those that seem most appropriate.</v>
      </c>
      <c r="BI1" s="55" t="str">
        <f>IF('C-P'!$E$21=1,BI2,IF('C-P'!$E$21=2,BI3,IF('C-P'!$E$21=3,BI4,IF('C-P'!$E$21=4,BI5,BI6))))</f>
        <v>If you have not entered all the data on sheet 1-DG or 2-DL, an error message appears on the sheet 3-AE.</v>
      </c>
      <c r="BJ1" s="55" t="str">
        <f>IF('C-P'!$E$21=1,BJ2,IF('C-P'!$E$21=2,BJ3,IF('C-P'!$E$21=3,BJ4,IF('C-P'!$E$21=4,BJ5,BJ6))))</f>
        <v>I have read and accepted the conditions of use of this Excel sheet. I declare to assume all responsibilities related to the use of data produced by this file, whether true or false.</v>
      </c>
      <c r="BK1" s="55" t="str">
        <f>IF('C-P'!$E$21=1,BK2,IF('C-P'!$E$21=2,BK3,IF('C-P'!$E$21=3,BK4,IF('C-P'!$E$21=4,BK5,BK6))))</f>
        <v>Data entry on yellow cells</v>
      </c>
      <c r="BL1" s="55" t="str">
        <f>IF('C-P'!$E$21=1,BL2,IF('C-P'!$E$21=2,BL3,IF('C-P'!$E$21=3,BL4,IF('C-P'!$E$21=4,BL5,BL6))))</f>
        <v>Enter your lift data</v>
      </c>
      <c r="BM1" s="55" t="str">
        <f>IF('C-P'!$E$21=1,BM2,IF('C-P'!$E$21=2,BM3,IF('C-P'!$E$21=3,BM4,IF('C-P'!$E$21=4,BM5,BM6))))</f>
        <v>Values comming from operators experience and control agencies</v>
      </c>
      <c r="BN1" s="55" t="str">
        <f>IF('C-P'!$E$21=1,BN2,IF('C-P'!$E$21=2,BN3,IF('C-P'!$E$21=3,BN4,IF('C-P'!$E$21=4,BN5,BN6))))</f>
        <v>General data</v>
      </c>
      <c r="BO1" s="55" t="str">
        <f>IF('C-P'!$E$21=1,BO2,IF('C-P'!$E$21=2,BO3,IF('C-P'!$E$21=3,BO4,IF('C-P'!$E$21=4,BO5,BO6))))</f>
        <v>Be aware: your case will never be the same as ours</v>
      </c>
      <c r="BP1" s="55" t="str">
        <f>IF('C-P'!$E$21=1,BP2,IF('C-P'!$E$21=2,BP3,IF('C-P'!$E$21=3,BP4,IF('C-P'!$E$21=4,BP5,BP6))))</f>
        <v>In Europe 180 mn besides 30 mn to take the decision</v>
      </c>
      <c r="BQ1" s="55" t="str">
        <f>IF('C-P'!$E$21=1,BQ2,IF('C-P'!$E$21=2,BQ3,IF('C-P'!$E$21=3,BQ4,IF('C-P'!$E$21=4,BQ5,BQ6))))</f>
        <v>over the two stations (25 towers maximum)</v>
      </c>
      <c r="BR1" s="55" t="str">
        <f>IF('C-P'!$E$21=1,BR2,IF('C-P'!$E$21=2,BR3,IF('C-P'!$E$21=3,BR4,IF('C-P'!$E$21=4,BR5,BR6))))</f>
        <v>Choose the worst case of your operation</v>
      </c>
      <c r="BS1" s="55" t="str">
        <f>IF('C-P'!$E$21=1,BS2,IF('C-P'!$E$21=2,BS3,IF('C-P'!$E$21=3,BS4,IF('C-P'!$E$21=4,BS5,BS6))))</f>
        <v>Line description</v>
      </c>
      <c r="BT1" s="55" t="str">
        <f>IF('C-P'!$E$21=1,BT2,IF('C-P'!$E$21=2,BT3,IF('C-P'!$E$21=3,BT4,IF('C-P'!$E$21=4,BT5,BT6))))</f>
        <v>Similars spans</v>
      </c>
      <c r="BU1" s="55" t="str">
        <f>IF('C-P'!$E$21=1,BU2,IF('C-P'!$E$21=2,BU3,IF('C-P'!$E$21=3,BU4,IF('C-P'!$E$21=4,BU5,BU6))))</f>
        <v>Differents spans</v>
      </c>
      <c r="BV1" s="55" t="str">
        <f>IF('C-P'!$E$21=1,BV2,IF('C-P'!$E$21=2,BV3,IF('C-P'!$E$21=3,BV4,IF('C-P'!$E$21=4,BV5,BV6))))</f>
        <v>Total</v>
      </c>
      <c r="BW1" s="55" t="str">
        <f>IF('C-P'!$E$21=1,BW2,IF('C-P'!$E$21=2,BW3,IF('C-P'!$E$21=3,BW4,IF('C-P'!$E$21=4,BW5,BW6))))</f>
        <v>For a repetitive span data entry use the lower brown cell</v>
      </c>
      <c r="BX1" s="55" t="str">
        <f>IF('C-P'!$E$21=1,BX2,IF('C-P'!$E$21=2,BX3,IF('C-P'!$E$21=3,BX4,IF('C-P'!$E$21=4,BX5,BX6))))</f>
        <v>For a different span data entry use the lower grey cells</v>
      </c>
      <c r="BY1" s="55" t="str">
        <f>IF('C-P'!$E$21=1,BY2,IF('C-P'!$E$21=2,BY3,IF('C-P'!$E$21=3,BY4,IF('C-P'!$E$21=4,BY5,BY6))))</f>
        <v>Data entry in grey cells (they will turn to yellow). When yellow, modification is allowed.</v>
      </c>
      <c r="BZ1" s="55" t="str">
        <f>IF('C-P'!$E$21=1,BZ2,IF('C-P'!$E$21=2,BZ3,IF('C-P'!$E$21=3,BZ4,IF('C-P'!$E$21=4,BZ5,BZ6))))</f>
        <v>Enter only numbers from 1 to 12</v>
      </c>
      <c r="CA1" s="55" t="str">
        <f>IF('C-P'!$E$21=1,CA2,IF('C-P'!$E$21=2,CA3,IF('C-P'!$E$21=3,CA4,IF('C-P'!$E$21=4,CA5,CA6))))</f>
        <v>Evaluation of your allocation</v>
      </c>
      <c r="CB1" s="55" t="str">
        <f>IF('C-P'!$E$21=1,CB2,IF('C-P'!$E$21=2,CB3,IF('C-P'!$E$21=3,CB4,IF('C-P'!$E$21=4,CB5,CB6))))</f>
        <v>The standard proposal</v>
      </c>
      <c r="CC1" s="55" t="str">
        <f>IF('C-P'!$E$21=1,CC2,IF('C-P'!$E$21=2,CC3,IF('C-P'!$E$21=3,CC4,IF('C-P'!$E$21=4,CC5,CC6))))</f>
        <v>Your team allocation</v>
      </c>
      <c r="CD1" s="55" t="str">
        <f>IF('C-P'!$E$21=1,CD2,IF('C-P'!$E$21=2,CD3,IF('C-P'!$E$21=3,CD4,IF('C-P'!$E$21=4,CD5,CD6))))</f>
        <v>Data entry type</v>
      </c>
      <c r="CE1" s="55" t="str">
        <f>IF('C-P'!$E$21=1,CE2,IF('C-P'!$E$21=2,CE3,IF('C-P'!$E$21=3,CE4,IF('C-P'!$E$21=4,CE5,CE6))))</f>
        <v>Automatic entry</v>
      </c>
      <c r="CF1" s="55" t="str">
        <f>IF('C-P'!$E$21=1,CF2,IF('C-P'!$E$21=2,CF3,IF('C-P'!$E$21=3,CF4,IF('C-P'!$E$21=4,CF5,CF6))))</f>
        <v>Manual entry</v>
      </c>
      <c r="CG1" s="55" t="str">
        <f>IF('C-P'!$E$21=1,CG2,IF('C-P'!$E$21=2,CG3,IF('C-P'!$E$21=3,CG4,IF('C-P'!$E$21=4,CG5,CG6))))</f>
        <v>Entry OK</v>
      </c>
      <c r="CH1" s="55" t="str">
        <f>IF('C-P'!$E$21=1,CH2,IF('C-P'!$E$21=2,CH3,IF('C-P'!$E$21=3,CH4,IF('C-P'!$E$21=4,CH5,CH6))))</f>
        <v>Incomplete entry</v>
      </c>
      <c r="CI1" s="55" t="str">
        <f>IF('C-P'!$E$21=1,CI2,IF('C-P'!$E$21=2,CI3,IF('C-P'!$E$21=3,CI4,IF('C-P'!$E$21=4,CI5,CI6))))</f>
        <v>Wrong entry</v>
      </c>
      <c r="CJ1" s="55" t="str">
        <f>IF('C-P'!$E$21=1,CJ2,IF('C-P'!$E$21=2,CJ3,IF('C-P'!$E$21=3,CJ4,IF('C-P'!$E$21=4,CJ5,CJ6))))</f>
        <v>Incomplete, excessive or wrong entry</v>
      </c>
      <c r="CK1" s="55" t="str">
        <f>IF('C-P'!$E$21=1,CK2,IF('C-P'!$E$21=2,CK3,IF('C-P'!$E$21=3,CK4,IF('C-P'!$E$21=4,CK5,CK6))))</f>
        <v>ATTENTION:</v>
      </c>
      <c r="CL1" s="55" t="str">
        <f>IF('C-P'!$E$21=1,CL2,IF('C-P'!$E$21=2,CL3,IF('C-P'!$E$21=3,CL4,IF('C-P'!$E$21=4,CL5,CL6))))</f>
        <v>Missing data in 1-DG sheet</v>
      </c>
      <c r="CM1" s="55" t="str">
        <f>IF('C-P'!$E$21=1,CM2,IF('C-P'!$E$21=2,CM3,IF('C-P'!$E$21=3,CM4,IF('C-P'!$E$21=4,CM5,CM6))))</f>
        <v>Incomplete data in 1-DG or 2_DL sheet</v>
      </c>
      <c r="CN1" s="55" t="str">
        <f>IF('C-P'!$E$21=1,CN2,IF('C-P'!$E$21=2,CN3,IF('C-P'!$E$21=3,CN4,IF('C-P'!$E$21=4,CN5,CN6))))</f>
        <v>other</v>
      </c>
      <c r="CO1" s="55" t="str">
        <f>IF('C-P'!$E$21=1,CO2,IF('C-P'!$E$21=2,CO3,IF('C-P'!$E$21=3,CO4,IF('C-P'!$E$21=4,CO5,CO6))))</f>
        <v>your choice</v>
      </c>
      <c r="CP1" s="55" t="str">
        <f>IF('C-P'!$E$21=1,CP2,IF('C-P'!$E$21=2,CP3,IF('C-P'!$E$21=3,CP4,IF('C-P'!$E$21=4,CP5,CP6))))</f>
        <v xml:space="preserve"> from</v>
      </c>
      <c r="CQ1" s="55" t="str">
        <f>IF('C-P'!$E$21=1,CQ2,IF('C-P'!$E$21=2,CQ3,IF('C-P'!$E$21=3,CQ4,IF('C-P'!$E$21=4,CQ5,CQ6))))</f>
        <v xml:space="preserve"> to</v>
      </c>
      <c r="CR1" s="55" t="str">
        <f>IF('C-P'!$E$21=1,CR2,IF('C-P'!$E$21=2,CR3,IF('C-P'!$E$21=3,CR4,IF('C-P'!$E$21=4,CR5,CR6))))</f>
        <v>max.</v>
      </c>
      <c r="CS1" s="55" t="str">
        <f>IF('C-P'!$E$21=1,CS2,IF('C-P'!$E$21=2,CS3,IF('C-P'!$E$21=3,CS4,IF('C-P'!$E$21=4,CS5,CS6))))</f>
        <v>unknown</v>
      </c>
      <c r="CT1" s="55" t="str">
        <f>IF('C-P'!$E$21=1,CT2,IF('C-P'!$E$21=2,CT3,IF('C-P'!$E$21=3,CT4,IF('C-P'!$E$21=4,CT5,CT6))))</f>
        <v>Operating conditions</v>
      </c>
      <c r="CU1" s="55" t="str">
        <f>IF('C-P'!$E$21=1,CU2,IF('C-P'!$E$21=2,CU3,IF('C-P'!$E$21=3,CU4,IF('C-P'!$E$21=4,CU5,CU6))))</f>
        <v>Evacuation restriction</v>
      </c>
      <c r="CV1" s="55" t="str">
        <f>IF('C-P'!$E$21=1,CV2,IF('C-P'!$E$21=2,CV3,IF('C-P'!$E$21=3,CV4,IF('C-P'!$E$21=4,CV5,CV6))))</f>
        <v>Evacuation arrangement</v>
      </c>
      <c r="CW1" s="55" t="str">
        <f>IF('C-P'!$E$21=1,CW2,IF('C-P'!$E$21=2,CW3,IF('C-P'!$E$21=3,CW4,IF('C-P'!$E$21=4,CW5,CW6))))</f>
        <v>4-R sheet, results, is a data entry overview and the evacuation team distribution. Ready to print.</v>
      </c>
      <c r="CX1" s="55" t="str">
        <f>IF('C-P'!$E$21=1,CX2,IF('C-P'!$E$21=2,CX3,IF('C-P'!$E$21=3,CX4,IF('C-P'!$E$21=4,CX5,CX6))))</f>
        <v>book 26-1</v>
      </c>
    </row>
    <row r="2" spans="1:110" ht="90" customHeight="1" x14ac:dyDescent="0.2">
      <c r="A2" s="316" t="s">
        <v>137</v>
      </c>
      <c r="B2" s="134" t="s">
        <v>394</v>
      </c>
      <c r="C2" s="134" t="s">
        <v>395</v>
      </c>
      <c r="D2" s="391" t="s">
        <v>140</v>
      </c>
      <c r="E2" s="391" t="s">
        <v>141</v>
      </c>
      <c r="F2" s="391" t="s">
        <v>157</v>
      </c>
      <c r="G2" s="391" t="s">
        <v>143</v>
      </c>
      <c r="H2" s="391" t="s">
        <v>152</v>
      </c>
      <c r="I2" s="391" t="s">
        <v>154</v>
      </c>
      <c r="J2" s="391" t="s">
        <v>156</v>
      </c>
      <c r="K2" s="391" t="s">
        <v>144</v>
      </c>
      <c r="L2" s="391" t="s">
        <v>145</v>
      </c>
      <c r="M2" s="392" t="s">
        <v>406</v>
      </c>
      <c r="N2" s="391" t="s">
        <v>155</v>
      </c>
      <c r="O2" s="392" t="s">
        <v>472</v>
      </c>
      <c r="P2" s="391" t="s">
        <v>138</v>
      </c>
      <c r="Q2" s="391" t="s">
        <v>473</v>
      </c>
      <c r="R2" s="391" t="s">
        <v>146</v>
      </c>
      <c r="S2" s="391" t="s">
        <v>327</v>
      </c>
      <c r="T2" s="391" t="s">
        <v>142</v>
      </c>
      <c r="U2" s="391" t="s">
        <v>474</v>
      </c>
      <c r="V2" s="391" t="s">
        <v>475</v>
      </c>
      <c r="W2" s="391" t="s">
        <v>476</v>
      </c>
      <c r="X2" s="391" t="s">
        <v>477</v>
      </c>
      <c r="Y2" s="393" t="s">
        <v>478</v>
      </c>
      <c r="Z2" s="392" t="s">
        <v>479</v>
      </c>
      <c r="AA2" s="391" t="s">
        <v>480</v>
      </c>
      <c r="AB2" s="393" t="s">
        <v>481</v>
      </c>
      <c r="AC2" s="391" t="s">
        <v>482</v>
      </c>
      <c r="AD2" s="394" t="s">
        <v>531</v>
      </c>
      <c r="AE2" s="394" t="s">
        <v>532</v>
      </c>
      <c r="AF2" s="391" t="s">
        <v>483</v>
      </c>
      <c r="AG2" s="391" t="s">
        <v>484</v>
      </c>
      <c r="AH2" s="393" t="s">
        <v>485</v>
      </c>
      <c r="AI2" s="393" t="s">
        <v>486</v>
      </c>
      <c r="AJ2" s="391" t="s">
        <v>139</v>
      </c>
      <c r="AK2" s="391" t="s">
        <v>156</v>
      </c>
      <c r="AL2" s="392" t="s">
        <v>487</v>
      </c>
      <c r="AM2" s="391" t="s">
        <v>488</v>
      </c>
      <c r="AN2" s="392" t="s">
        <v>489</v>
      </c>
      <c r="AO2" s="392" t="s">
        <v>490</v>
      </c>
      <c r="AP2" s="391" t="s">
        <v>151</v>
      </c>
      <c r="AQ2" s="392" t="s">
        <v>396</v>
      </c>
      <c r="AR2" s="392" t="s">
        <v>397</v>
      </c>
      <c r="AS2" s="392" t="s">
        <v>398</v>
      </c>
      <c r="AT2" s="392" t="s">
        <v>399</v>
      </c>
      <c r="AU2" s="392" t="s">
        <v>400</v>
      </c>
      <c r="AV2" s="392" t="s">
        <v>401</v>
      </c>
      <c r="AW2" s="392" t="s">
        <v>402</v>
      </c>
      <c r="AX2" s="391" t="s">
        <v>147</v>
      </c>
      <c r="AY2" s="391" t="s">
        <v>491</v>
      </c>
      <c r="AZ2" s="391" t="s">
        <v>492</v>
      </c>
      <c r="BA2" s="392" t="s">
        <v>493</v>
      </c>
      <c r="BB2" s="395" t="s">
        <v>494</v>
      </c>
      <c r="BC2" s="395" t="s">
        <v>495</v>
      </c>
      <c r="BD2" s="395" t="s">
        <v>496</v>
      </c>
      <c r="BE2" s="392" t="s">
        <v>497</v>
      </c>
      <c r="BF2" s="392" t="s">
        <v>498</v>
      </c>
      <c r="BG2" s="392" t="s">
        <v>499</v>
      </c>
      <c r="BH2" s="392" t="s">
        <v>500</v>
      </c>
      <c r="BI2" s="392" t="s">
        <v>501</v>
      </c>
      <c r="BJ2" s="392" t="s">
        <v>502</v>
      </c>
      <c r="BK2" s="392" t="s">
        <v>503</v>
      </c>
      <c r="BL2" s="391" t="s">
        <v>138</v>
      </c>
      <c r="BM2" s="391" t="s">
        <v>504</v>
      </c>
      <c r="BN2" s="391" t="s">
        <v>560</v>
      </c>
      <c r="BO2" s="392" t="s">
        <v>505</v>
      </c>
      <c r="BP2" s="392" t="s">
        <v>506</v>
      </c>
      <c r="BQ2" s="391" t="s">
        <v>507</v>
      </c>
      <c r="BR2" s="392" t="s">
        <v>508</v>
      </c>
      <c r="BS2" s="391" t="s">
        <v>148</v>
      </c>
      <c r="BT2" s="391" t="s">
        <v>509</v>
      </c>
      <c r="BU2" s="391" t="s">
        <v>510</v>
      </c>
      <c r="BV2" s="391" t="s">
        <v>511</v>
      </c>
      <c r="BW2" s="392" t="s">
        <v>512</v>
      </c>
      <c r="BX2" s="392" t="s">
        <v>513</v>
      </c>
      <c r="BY2" s="392" t="s">
        <v>514</v>
      </c>
      <c r="BZ2" s="392" t="s">
        <v>407</v>
      </c>
      <c r="CA2" s="391" t="s">
        <v>555</v>
      </c>
      <c r="CB2" s="391" t="s">
        <v>153</v>
      </c>
      <c r="CC2" s="391" t="s">
        <v>515</v>
      </c>
      <c r="CD2" s="391" t="s">
        <v>149</v>
      </c>
      <c r="CE2" s="391" t="s">
        <v>150</v>
      </c>
      <c r="CF2" s="391" t="s">
        <v>516</v>
      </c>
      <c r="CG2" s="392" t="s">
        <v>517</v>
      </c>
      <c r="CH2" s="392" t="s">
        <v>518</v>
      </c>
      <c r="CI2" s="392" t="s">
        <v>557</v>
      </c>
      <c r="CJ2" s="392" t="s">
        <v>519</v>
      </c>
      <c r="CK2" s="391" t="s">
        <v>353</v>
      </c>
      <c r="CL2" s="392" t="s">
        <v>520</v>
      </c>
      <c r="CM2" s="392" t="s">
        <v>521</v>
      </c>
      <c r="CN2" s="392" t="s">
        <v>522</v>
      </c>
      <c r="CO2" s="392" t="s">
        <v>403</v>
      </c>
      <c r="CP2" s="392" t="s">
        <v>404</v>
      </c>
      <c r="CQ2" s="392" t="s">
        <v>405</v>
      </c>
      <c r="CR2" s="392" t="s">
        <v>408</v>
      </c>
      <c r="CS2" s="396" t="s">
        <v>415</v>
      </c>
      <c r="CT2" s="391" t="s">
        <v>561</v>
      </c>
      <c r="CU2" s="393" t="s">
        <v>523</v>
      </c>
      <c r="CV2" s="393" t="s">
        <v>562</v>
      </c>
      <c r="CW2" s="397" t="s">
        <v>524</v>
      </c>
      <c r="CX2" s="393" t="s">
        <v>581</v>
      </c>
    </row>
    <row r="3" spans="1:110" ht="78" x14ac:dyDescent="0.2">
      <c r="A3" s="104" t="s">
        <v>88</v>
      </c>
      <c r="B3" s="150" t="s">
        <v>232</v>
      </c>
      <c r="C3" s="150" t="s">
        <v>233</v>
      </c>
      <c r="D3" s="391" t="s">
        <v>158</v>
      </c>
      <c r="E3" s="391" t="s">
        <v>573</v>
      </c>
      <c r="F3" s="391" t="s">
        <v>343</v>
      </c>
      <c r="G3" s="391" t="s">
        <v>160</v>
      </c>
      <c r="H3" s="391" t="s">
        <v>169</v>
      </c>
      <c r="I3" s="391" t="s">
        <v>172</v>
      </c>
      <c r="J3" s="391" t="s">
        <v>348</v>
      </c>
      <c r="K3" s="391" t="s">
        <v>161</v>
      </c>
      <c r="L3" s="391" t="s">
        <v>162</v>
      </c>
      <c r="M3" s="391" t="s">
        <v>189</v>
      </c>
      <c r="N3" s="391" t="s">
        <v>173</v>
      </c>
      <c r="O3" s="391" t="s">
        <v>419</v>
      </c>
      <c r="P3" s="391" t="s">
        <v>574</v>
      </c>
      <c r="Q3" s="391" t="s">
        <v>554</v>
      </c>
      <c r="R3" s="391" t="s">
        <v>575</v>
      </c>
      <c r="S3" s="391" t="s">
        <v>360</v>
      </c>
      <c r="T3" s="391" t="s">
        <v>159</v>
      </c>
      <c r="U3" s="391" t="s">
        <v>166</v>
      </c>
      <c r="V3" s="391" t="s">
        <v>176</v>
      </c>
      <c r="W3" s="391" t="s">
        <v>167</v>
      </c>
      <c r="X3" s="391" t="s">
        <v>187</v>
      </c>
      <c r="Y3" s="391" t="s">
        <v>340</v>
      </c>
      <c r="Z3" s="391" t="s">
        <v>427</v>
      </c>
      <c r="AA3" s="391" t="s">
        <v>420</v>
      </c>
      <c r="AB3" s="393" t="s">
        <v>458</v>
      </c>
      <c r="AC3" s="391" t="s">
        <v>459</v>
      </c>
      <c r="AD3" s="391" t="s">
        <v>533</v>
      </c>
      <c r="AE3" s="391" t="s">
        <v>534</v>
      </c>
      <c r="AF3" s="391" t="s">
        <v>460</v>
      </c>
      <c r="AG3" s="391" t="s">
        <v>421</v>
      </c>
      <c r="AH3" s="393" t="s">
        <v>422</v>
      </c>
      <c r="AI3" s="391" t="s">
        <v>576</v>
      </c>
      <c r="AJ3" s="391" t="s">
        <v>423</v>
      </c>
      <c r="AK3" s="391" t="s">
        <v>174</v>
      </c>
      <c r="AL3" s="391" t="s">
        <v>424</v>
      </c>
      <c r="AM3" s="391" t="s">
        <v>425</v>
      </c>
      <c r="AN3" s="391" t="s">
        <v>344</v>
      </c>
      <c r="AO3" s="391" t="s">
        <v>237</v>
      </c>
      <c r="AP3" s="391" t="s">
        <v>168</v>
      </c>
      <c r="AQ3" s="391" t="s">
        <v>426</v>
      </c>
      <c r="AR3" s="391" t="s">
        <v>355</v>
      </c>
      <c r="AS3" s="391" t="s">
        <v>356</v>
      </c>
      <c r="AT3" s="391" t="s">
        <v>220</v>
      </c>
      <c r="AU3" s="391" t="s">
        <v>249</v>
      </c>
      <c r="AV3" s="391" t="s">
        <v>250</v>
      </c>
      <c r="AW3" s="391" t="s">
        <v>251</v>
      </c>
      <c r="AX3" s="391" t="s">
        <v>163</v>
      </c>
      <c r="AY3" s="391" t="s">
        <v>467</v>
      </c>
      <c r="AZ3" s="391" t="s">
        <v>164</v>
      </c>
      <c r="BA3" s="397" t="s">
        <v>577</v>
      </c>
      <c r="BB3" s="391" t="s">
        <v>538</v>
      </c>
      <c r="BC3" s="391" t="s">
        <v>559</v>
      </c>
      <c r="BD3" s="391" t="s">
        <v>558</v>
      </c>
      <c r="BE3" s="391" t="s">
        <v>6</v>
      </c>
      <c r="BF3" s="391" t="s">
        <v>470</v>
      </c>
      <c r="BG3" s="391" t="s">
        <v>461</v>
      </c>
      <c r="BH3" s="391" t="s">
        <v>1</v>
      </c>
      <c r="BI3" s="391" t="s">
        <v>457</v>
      </c>
      <c r="BJ3" s="391" t="s">
        <v>456</v>
      </c>
      <c r="BK3" s="391" t="s">
        <v>451</v>
      </c>
      <c r="BL3" s="391" t="s">
        <v>2</v>
      </c>
      <c r="BM3" s="391" t="s">
        <v>3</v>
      </c>
      <c r="BN3" s="391" t="s">
        <v>428</v>
      </c>
      <c r="BO3" s="391" t="s">
        <v>4</v>
      </c>
      <c r="BP3" s="391" t="s">
        <v>429</v>
      </c>
      <c r="BQ3" s="391" t="s">
        <v>230</v>
      </c>
      <c r="BR3" s="391" t="s">
        <v>234</v>
      </c>
      <c r="BS3" s="391" t="s">
        <v>165</v>
      </c>
      <c r="BT3" s="391" t="s">
        <v>177</v>
      </c>
      <c r="BU3" s="391" t="s">
        <v>178</v>
      </c>
      <c r="BV3" s="391" t="s">
        <v>19</v>
      </c>
      <c r="BW3" s="391" t="s">
        <v>445</v>
      </c>
      <c r="BX3" s="391" t="s">
        <v>449</v>
      </c>
      <c r="BY3" s="391" t="s">
        <v>5</v>
      </c>
      <c r="BZ3" s="391" t="s">
        <v>377</v>
      </c>
      <c r="CA3" s="391" t="s">
        <v>549</v>
      </c>
      <c r="CB3" s="391" t="s">
        <v>170</v>
      </c>
      <c r="CC3" s="391" t="s">
        <v>171</v>
      </c>
      <c r="CD3" s="391" t="s">
        <v>430</v>
      </c>
      <c r="CE3" s="391" t="s">
        <v>431</v>
      </c>
      <c r="CF3" s="391" t="s">
        <v>432</v>
      </c>
      <c r="CG3" s="391" t="s">
        <v>436</v>
      </c>
      <c r="CH3" s="391" t="s">
        <v>435</v>
      </c>
      <c r="CI3" s="391" t="s">
        <v>434</v>
      </c>
      <c r="CJ3" s="391" t="s">
        <v>433</v>
      </c>
      <c r="CK3" s="391" t="s">
        <v>352</v>
      </c>
      <c r="CL3" s="391" t="s">
        <v>437</v>
      </c>
      <c r="CM3" s="391" t="s">
        <v>441</v>
      </c>
      <c r="CN3" s="391" t="s">
        <v>235</v>
      </c>
      <c r="CO3" s="391" t="s">
        <v>236</v>
      </c>
      <c r="CP3" s="391" t="s">
        <v>224</v>
      </c>
      <c r="CQ3" s="391" t="s">
        <v>225</v>
      </c>
      <c r="CR3" s="391" t="s">
        <v>408</v>
      </c>
      <c r="CS3" s="396" t="s">
        <v>416</v>
      </c>
      <c r="CT3" s="391" t="s">
        <v>393</v>
      </c>
      <c r="CU3" s="393" t="s">
        <v>442</v>
      </c>
      <c r="CV3" s="393" t="s">
        <v>443</v>
      </c>
      <c r="CW3" s="397" t="s">
        <v>444</v>
      </c>
      <c r="CX3" s="393" t="s">
        <v>582</v>
      </c>
    </row>
    <row r="4" spans="1:110" ht="78" x14ac:dyDescent="0.2">
      <c r="A4" s="104" t="s">
        <v>115</v>
      </c>
      <c r="B4" s="150" t="s">
        <v>196</v>
      </c>
      <c r="C4" s="150" t="s">
        <v>197</v>
      </c>
      <c r="D4" s="391" t="s">
        <v>117</v>
      </c>
      <c r="E4" s="391" t="s">
        <v>118</v>
      </c>
      <c r="F4" s="391" t="s">
        <v>136</v>
      </c>
      <c r="G4" s="391" t="s">
        <v>199</v>
      </c>
      <c r="H4" s="391" t="s">
        <v>130</v>
      </c>
      <c r="I4" s="391" t="s">
        <v>132</v>
      </c>
      <c r="J4" s="391" t="s">
        <v>347</v>
      </c>
      <c r="K4" s="391" t="s">
        <v>120</v>
      </c>
      <c r="L4" s="391" t="s">
        <v>121</v>
      </c>
      <c r="M4" s="391" t="s">
        <v>190</v>
      </c>
      <c r="N4" s="391" t="s">
        <v>133</v>
      </c>
      <c r="O4" s="391" t="s">
        <v>244</v>
      </c>
      <c r="P4" s="391" t="s">
        <v>198</v>
      </c>
      <c r="Q4" s="391" t="s">
        <v>358</v>
      </c>
      <c r="R4" s="391" t="s">
        <v>122</v>
      </c>
      <c r="S4" s="391" t="s">
        <v>326</v>
      </c>
      <c r="T4" s="391" t="s">
        <v>119</v>
      </c>
      <c r="U4" s="391" t="s">
        <v>200</v>
      </c>
      <c r="V4" s="391" t="s">
        <v>207</v>
      </c>
      <c r="W4" s="391" t="s">
        <v>201</v>
      </c>
      <c r="X4" s="391" t="s">
        <v>183</v>
      </c>
      <c r="Y4" s="393" t="s">
        <v>329</v>
      </c>
      <c r="Z4" s="391" t="s">
        <v>383</v>
      </c>
      <c r="AA4" s="391" t="s">
        <v>385</v>
      </c>
      <c r="AB4" s="393" t="s">
        <v>328</v>
      </c>
      <c r="AC4" s="391" t="s">
        <v>324</v>
      </c>
      <c r="AD4" s="391" t="s">
        <v>529</v>
      </c>
      <c r="AE4" s="391" t="s">
        <v>530</v>
      </c>
      <c r="AF4" s="391" t="s">
        <v>334</v>
      </c>
      <c r="AG4" s="391" t="s">
        <v>337</v>
      </c>
      <c r="AH4" s="393" t="s">
        <v>342</v>
      </c>
      <c r="AI4" s="393" t="s">
        <v>330</v>
      </c>
      <c r="AJ4" s="391" t="s">
        <v>116</v>
      </c>
      <c r="AK4" s="391" t="s">
        <v>134</v>
      </c>
      <c r="AL4" s="391" t="s">
        <v>204</v>
      </c>
      <c r="AM4" s="391" t="s">
        <v>135</v>
      </c>
      <c r="AN4" s="391" t="s">
        <v>202</v>
      </c>
      <c r="AO4" s="391" t="s">
        <v>203</v>
      </c>
      <c r="AP4" s="391" t="s">
        <v>129</v>
      </c>
      <c r="AQ4" s="391" t="s">
        <v>216</v>
      </c>
      <c r="AR4" s="391" t="s">
        <v>226</v>
      </c>
      <c r="AS4" s="391" t="s">
        <v>218</v>
      </c>
      <c r="AT4" s="391" t="s">
        <v>220</v>
      </c>
      <c r="AU4" s="391" t="s">
        <v>246</v>
      </c>
      <c r="AV4" s="391" t="s">
        <v>247</v>
      </c>
      <c r="AW4" s="391" t="s">
        <v>248</v>
      </c>
      <c r="AX4" s="391" t="s">
        <v>123</v>
      </c>
      <c r="AY4" s="391" t="s">
        <v>466</v>
      </c>
      <c r="AZ4" s="391" t="s">
        <v>124</v>
      </c>
      <c r="BA4" s="391" t="s">
        <v>469</v>
      </c>
      <c r="BB4" s="391" t="s">
        <v>535</v>
      </c>
      <c r="BC4" s="391" t="s">
        <v>578</v>
      </c>
      <c r="BD4" s="391" t="s">
        <v>579</v>
      </c>
      <c r="BE4" s="391" t="s">
        <v>463</v>
      </c>
      <c r="BF4" s="391" t="s">
        <v>0</v>
      </c>
      <c r="BG4" s="391" t="s">
        <v>257</v>
      </c>
      <c r="BH4" s="391" t="s">
        <v>261</v>
      </c>
      <c r="BI4" s="391" t="s">
        <v>263</v>
      </c>
      <c r="BJ4" s="391" t="s">
        <v>453</v>
      </c>
      <c r="BK4" s="391" t="s">
        <v>452</v>
      </c>
      <c r="BL4" s="391" t="s">
        <v>198</v>
      </c>
      <c r="BM4" s="391" t="s">
        <v>450</v>
      </c>
      <c r="BN4" s="391" t="s">
        <v>359</v>
      </c>
      <c r="BO4" s="391" t="s">
        <v>210</v>
      </c>
      <c r="BP4" s="391" t="s">
        <v>245</v>
      </c>
      <c r="BQ4" s="391" t="s">
        <v>211</v>
      </c>
      <c r="BR4" s="391" t="s">
        <v>205</v>
      </c>
      <c r="BS4" s="391" t="s">
        <v>125</v>
      </c>
      <c r="BT4" s="391" t="s">
        <v>208</v>
      </c>
      <c r="BU4" s="391" t="s">
        <v>209</v>
      </c>
      <c r="BV4" s="391" t="s">
        <v>19</v>
      </c>
      <c r="BW4" s="391" t="s">
        <v>446</v>
      </c>
      <c r="BX4" s="391" t="s">
        <v>212</v>
      </c>
      <c r="BY4" s="391" t="s">
        <v>259</v>
      </c>
      <c r="BZ4" s="391" t="s">
        <v>376</v>
      </c>
      <c r="CA4" s="391" t="s">
        <v>552</v>
      </c>
      <c r="CB4" s="391" t="s">
        <v>131</v>
      </c>
      <c r="CC4" s="391" t="s">
        <v>206</v>
      </c>
      <c r="CD4" s="391" t="s">
        <v>126</v>
      </c>
      <c r="CE4" s="391" t="s">
        <v>127</v>
      </c>
      <c r="CF4" s="391" t="s">
        <v>128</v>
      </c>
      <c r="CG4" s="391" t="s">
        <v>214</v>
      </c>
      <c r="CH4" s="391" t="s">
        <v>253</v>
      </c>
      <c r="CI4" s="391" t="s">
        <v>243</v>
      </c>
      <c r="CJ4" s="391" t="s">
        <v>241</v>
      </c>
      <c r="CK4" s="391" t="s">
        <v>351</v>
      </c>
      <c r="CL4" s="391" t="s">
        <v>255</v>
      </c>
      <c r="CM4" s="391" t="s">
        <v>438</v>
      </c>
      <c r="CN4" s="391" t="s">
        <v>217</v>
      </c>
      <c r="CO4" s="391" t="s">
        <v>219</v>
      </c>
      <c r="CP4" s="391" t="s">
        <v>221</v>
      </c>
      <c r="CQ4" s="391" t="s">
        <v>223</v>
      </c>
      <c r="CR4" s="391" t="s">
        <v>409</v>
      </c>
      <c r="CS4" s="396" t="s">
        <v>414</v>
      </c>
      <c r="CT4" s="391" t="s">
        <v>391</v>
      </c>
      <c r="CU4" s="393" t="s">
        <v>412</v>
      </c>
      <c r="CV4" s="393" t="s">
        <v>392</v>
      </c>
      <c r="CW4" s="397" t="s">
        <v>580</v>
      </c>
      <c r="CX4" s="393" t="s">
        <v>583</v>
      </c>
    </row>
    <row r="5" spans="1:110" ht="87.75" x14ac:dyDescent="0.2">
      <c r="A5" s="104" t="s">
        <v>86</v>
      </c>
      <c r="B5" s="150" t="s">
        <v>180</v>
      </c>
      <c r="C5" s="150" t="s">
        <v>181</v>
      </c>
      <c r="D5" s="391" t="s">
        <v>7</v>
      </c>
      <c r="E5" s="391" t="s">
        <v>89</v>
      </c>
      <c r="F5" s="391" t="s">
        <v>195</v>
      </c>
      <c r="G5" s="391" t="s">
        <v>90</v>
      </c>
      <c r="H5" s="391" t="s">
        <v>386</v>
      </c>
      <c r="I5" s="391" t="s">
        <v>30</v>
      </c>
      <c r="J5" s="391" t="s">
        <v>345</v>
      </c>
      <c r="K5" s="391" t="s">
        <v>12</v>
      </c>
      <c r="L5" s="391" t="s">
        <v>13</v>
      </c>
      <c r="M5" s="391" t="s">
        <v>60</v>
      </c>
      <c r="N5" s="391" t="s">
        <v>35</v>
      </c>
      <c r="O5" s="391" t="s">
        <v>192</v>
      </c>
      <c r="P5" s="391" t="s">
        <v>22</v>
      </c>
      <c r="Q5" s="391" t="s">
        <v>553</v>
      </c>
      <c r="R5" s="391" t="s">
        <v>50</v>
      </c>
      <c r="S5" s="391" t="s">
        <v>371</v>
      </c>
      <c r="T5" s="391" t="s">
        <v>49</v>
      </c>
      <c r="U5" s="398" t="s">
        <v>94</v>
      </c>
      <c r="V5" s="398" t="s">
        <v>175</v>
      </c>
      <c r="W5" s="398" t="s">
        <v>95</v>
      </c>
      <c r="X5" s="391" t="s">
        <v>186</v>
      </c>
      <c r="Y5" s="393" t="s">
        <v>372</v>
      </c>
      <c r="Z5" s="391" t="s">
        <v>381</v>
      </c>
      <c r="AA5" s="391" t="s">
        <v>380</v>
      </c>
      <c r="AB5" s="393" t="s">
        <v>341</v>
      </c>
      <c r="AC5" s="391" t="s">
        <v>322</v>
      </c>
      <c r="AD5" s="391" t="s">
        <v>525</v>
      </c>
      <c r="AE5" s="391" t="s">
        <v>526</v>
      </c>
      <c r="AF5" s="391" t="s">
        <v>332</v>
      </c>
      <c r="AG5" s="391" t="s">
        <v>335</v>
      </c>
      <c r="AH5" s="393" t="s">
        <v>331</v>
      </c>
      <c r="AI5" s="393" t="s">
        <v>363</v>
      </c>
      <c r="AJ5" s="391" t="s">
        <v>11</v>
      </c>
      <c r="AK5" s="391" t="s">
        <v>93</v>
      </c>
      <c r="AL5" s="391" t="s">
        <v>373</v>
      </c>
      <c r="AM5" s="391" t="s">
        <v>46</v>
      </c>
      <c r="AN5" s="398" t="s">
        <v>96</v>
      </c>
      <c r="AO5" s="398" t="s">
        <v>97</v>
      </c>
      <c r="AP5" s="391" t="s">
        <v>36</v>
      </c>
      <c r="AQ5" s="391" t="s">
        <v>215</v>
      </c>
      <c r="AR5" s="391" t="s">
        <v>355</v>
      </c>
      <c r="AS5" s="391" t="s">
        <v>356</v>
      </c>
      <c r="AT5" s="391" t="s">
        <v>357</v>
      </c>
      <c r="AU5" s="391" t="s">
        <v>246</v>
      </c>
      <c r="AV5" s="391" t="s">
        <v>247</v>
      </c>
      <c r="AW5" s="391" t="s">
        <v>248</v>
      </c>
      <c r="AX5" s="391" t="s">
        <v>91</v>
      </c>
      <c r="AY5" s="391" t="s">
        <v>464</v>
      </c>
      <c r="AZ5" s="391" t="s">
        <v>92</v>
      </c>
      <c r="BA5" s="391" t="s">
        <v>468</v>
      </c>
      <c r="BB5" s="391" t="s">
        <v>537</v>
      </c>
      <c r="BC5" s="391" t="s">
        <v>366</v>
      </c>
      <c r="BD5" s="391" t="s">
        <v>367</v>
      </c>
      <c r="BE5" s="391" t="s">
        <v>369</v>
      </c>
      <c r="BF5" s="391" t="s">
        <v>462</v>
      </c>
      <c r="BG5" s="391" t="s">
        <v>256</v>
      </c>
      <c r="BH5" s="391" t="s">
        <v>260</v>
      </c>
      <c r="BI5" s="391" t="s">
        <v>262</v>
      </c>
      <c r="BJ5" s="391" t="s">
        <v>455</v>
      </c>
      <c r="BK5" s="391" t="s">
        <v>227</v>
      </c>
      <c r="BL5" s="391" t="s">
        <v>22</v>
      </c>
      <c r="BM5" s="391" t="s">
        <v>194</v>
      </c>
      <c r="BN5" s="391" t="s">
        <v>47</v>
      </c>
      <c r="BO5" s="391" t="s">
        <v>188</v>
      </c>
      <c r="BP5" s="391" t="s">
        <v>193</v>
      </c>
      <c r="BQ5" s="391" t="s">
        <v>229</v>
      </c>
      <c r="BR5" s="391" t="s">
        <v>182</v>
      </c>
      <c r="BS5" s="391" t="s">
        <v>17</v>
      </c>
      <c r="BT5" s="391" t="s">
        <v>61</v>
      </c>
      <c r="BU5" s="391" t="s">
        <v>62</v>
      </c>
      <c r="BV5" s="391" t="s">
        <v>19</v>
      </c>
      <c r="BW5" s="391" t="s">
        <v>447</v>
      </c>
      <c r="BX5" s="391" t="s">
        <v>231</v>
      </c>
      <c r="BY5" s="391" t="s">
        <v>258</v>
      </c>
      <c r="BZ5" s="391" t="s">
        <v>374</v>
      </c>
      <c r="CA5" s="391" t="s">
        <v>550</v>
      </c>
      <c r="CB5" s="391" t="s">
        <v>34</v>
      </c>
      <c r="CC5" s="391" t="s">
        <v>33</v>
      </c>
      <c r="CD5" s="391" t="s">
        <v>20</v>
      </c>
      <c r="CE5" s="391" t="s">
        <v>39</v>
      </c>
      <c r="CF5" s="391" t="s">
        <v>38</v>
      </c>
      <c r="CG5" s="391" t="s">
        <v>213</v>
      </c>
      <c r="CH5" s="391" t="s">
        <v>252</v>
      </c>
      <c r="CI5" s="391" t="s">
        <v>242</v>
      </c>
      <c r="CJ5" s="391" t="s">
        <v>240</v>
      </c>
      <c r="CK5" s="391" t="s">
        <v>349</v>
      </c>
      <c r="CL5" s="391" t="s">
        <v>254</v>
      </c>
      <c r="CM5" s="391" t="s">
        <v>440</v>
      </c>
      <c r="CN5" s="391" t="s">
        <v>10</v>
      </c>
      <c r="CO5" s="391" t="s">
        <v>55</v>
      </c>
      <c r="CP5" s="391" t="s">
        <v>221</v>
      </c>
      <c r="CQ5" s="391" t="s">
        <v>222</v>
      </c>
      <c r="CR5" s="391" t="s">
        <v>408</v>
      </c>
      <c r="CS5" s="396" t="s">
        <v>413</v>
      </c>
      <c r="CT5" s="391" t="s">
        <v>388</v>
      </c>
      <c r="CU5" s="393" t="s">
        <v>389</v>
      </c>
      <c r="CV5" s="393" t="s">
        <v>390</v>
      </c>
      <c r="CW5" s="393" t="s">
        <v>418</v>
      </c>
      <c r="CX5" s="393" t="s">
        <v>584</v>
      </c>
      <c r="CY5" s="118"/>
      <c r="CZ5" s="118"/>
      <c r="DA5" s="118"/>
      <c r="DB5" s="118"/>
      <c r="DC5" s="118"/>
      <c r="DD5" s="118"/>
      <c r="DE5" s="118"/>
      <c r="DF5" s="118"/>
    </row>
    <row r="6" spans="1:110" ht="87.75" x14ac:dyDescent="0.2">
      <c r="A6" s="104" t="s">
        <v>87</v>
      </c>
      <c r="B6" s="116" t="s">
        <v>238</v>
      </c>
      <c r="C6" s="116" t="s">
        <v>265</v>
      </c>
      <c r="D6" s="399" t="s">
        <v>99</v>
      </c>
      <c r="E6" s="399" t="s">
        <v>267</v>
      </c>
      <c r="F6" s="399" t="s">
        <v>114</v>
      </c>
      <c r="G6" s="399" t="s">
        <v>269</v>
      </c>
      <c r="H6" s="399" t="s">
        <v>109</v>
      </c>
      <c r="I6" s="399" t="s">
        <v>111</v>
      </c>
      <c r="J6" s="399" t="s">
        <v>346</v>
      </c>
      <c r="K6" s="399" t="s">
        <v>101</v>
      </c>
      <c r="L6" s="399" t="s">
        <v>102</v>
      </c>
      <c r="M6" s="399" t="s">
        <v>191</v>
      </c>
      <c r="N6" s="399" t="s">
        <v>112</v>
      </c>
      <c r="O6" s="400" t="s">
        <v>264</v>
      </c>
      <c r="P6" s="401" t="s">
        <v>266</v>
      </c>
      <c r="Q6" s="399" t="s">
        <v>563</v>
      </c>
      <c r="R6" s="399" t="s">
        <v>270</v>
      </c>
      <c r="S6" s="399" t="s">
        <v>325</v>
      </c>
      <c r="T6" s="399" t="s">
        <v>100</v>
      </c>
      <c r="U6" s="399" t="s">
        <v>272</v>
      </c>
      <c r="V6" s="399" t="s">
        <v>278</v>
      </c>
      <c r="W6" s="399" t="s">
        <v>105</v>
      </c>
      <c r="X6" s="399" t="s">
        <v>296</v>
      </c>
      <c r="Y6" s="393" t="s">
        <v>339</v>
      </c>
      <c r="Z6" s="399" t="s">
        <v>382</v>
      </c>
      <c r="AA6" s="399" t="s">
        <v>384</v>
      </c>
      <c r="AB6" s="393" t="s">
        <v>410</v>
      </c>
      <c r="AC6" s="399" t="s">
        <v>323</v>
      </c>
      <c r="AD6" s="399" t="s">
        <v>527</v>
      </c>
      <c r="AE6" s="399" t="s">
        <v>528</v>
      </c>
      <c r="AF6" s="399" t="s">
        <v>333</v>
      </c>
      <c r="AG6" s="399" t="s">
        <v>336</v>
      </c>
      <c r="AH6" s="393" t="s">
        <v>564</v>
      </c>
      <c r="AI6" s="393" t="s">
        <v>364</v>
      </c>
      <c r="AJ6" s="399" t="s">
        <v>98</v>
      </c>
      <c r="AK6" s="399" t="s">
        <v>277</v>
      </c>
      <c r="AL6" s="399" t="s">
        <v>283</v>
      </c>
      <c r="AM6" s="399" t="s">
        <v>113</v>
      </c>
      <c r="AN6" s="399" t="s">
        <v>106</v>
      </c>
      <c r="AO6" s="399" t="s">
        <v>107</v>
      </c>
      <c r="AP6" s="399" t="s">
        <v>108</v>
      </c>
      <c r="AQ6" s="399" t="s">
        <v>284</v>
      </c>
      <c r="AR6" s="399" t="s">
        <v>226</v>
      </c>
      <c r="AS6" s="399" t="s">
        <v>218</v>
      </c>
      <c r="AT6" s="399" t="s">
        <v>285</v>
      </c>
      <c r="AU6" s="399" t="s">
        <v>246</v>
      </c>
      <c r="AV6" s="399" t="s">
        <v>247</v>
      </c>
      <c r="AW6" s="399" t="s">
        <v>248</v>
      </c>
      <c r="AX6" s="399" t="s">
        <v>103</v>
      </c>
      <c r="AY6" s="399" t="s">
        <v>465</v>
      </c>
      <c r="AZ6" s="399" t="s">
        <v>271</v>
      </c>
      <c r="BA6" s="402" t="s">
        <v>565</v>
      </c>
      <c r="BB6" s="402" t="s">
        <v>536</v>
      </c>
      <c r="BC6" s="402" t="s">
        <v>365</v>
      </c>
      <c r="BD6" s="402" t="s">
        <v>368</v>
      </c>
      <c r="BE6" s="402" t="s">
        <v>299</v>
      </c>
      <c r="BF6" s="402" t="s">
        <v>566</v>
      </c>
      <c r="BG6" s="399" t="s">
        <v>300</v>
      </c>
      <c r="BH6" s="399" t="s">
        <v>567</v>
      </c>
      <c r="BI6" s="399" t="s">
        <v>301</v>
      </c>
      <c r="BJ6" s="399" t="s">
        <v>454</v>
      </c>
      <c r="BK6" s="399" t="s">
        <v>298</v>
      </c>
      <c r="BL6" s="403" t="s">
        <v>266</v>
      </c>
      <c r="BM6" s="399" t="s">
        <v>294</v>
      </c>
      <c r="BN6" s="399" t="s">
        <v>361</v>
      </c>
      <c r="BO6" s="403" t="s">
        <v>362</v>
      </c>
      <c r="BP6" s="399" t="s">
        <v>281</v>
      </c>
      <c r="BQ6" s="399" t="s">
        <v>268</v>
      </c>
      <c r="BR6" s="399" t="s">
        <v>282</v>
      </c>
      <c r="BS6" s="399" t="s">
        <v>104</v>
      </c>
      <c r="BT6" s="399" t="s">
        <v>279</v>
      </c>
      <c r="BU6" s="399" t="s">
        <v>280</v>
      </c>
      <c r="BV6" s="399" t="s">
        <v>354</v>
      </c>
      <c r="BW6" s="399" t="s">
        <v>448</v>
      </c>
      <c r="BX6" s="399" t="s">
        <v>297</v>
      </c>
      <c r="BY6" s="399" t="s">
        <v>295</v>
      </c>
      <c r="BZ6" s="399" t="s">
        <v>375</v>
      </c>
      <c r="CA6" s="399" t="s">
        <v>551</v>
      </c>
      <c r="CB6" s="399" t="s">
        <v>110</v>
      </c>
      <c r="CC6" s="399" t="s">
        <v>276</v>
      </c>
      <c r="CD6" s="399" t="s">
        <v>273</v>
      </c>
      <c r="CE6" s="399" t="s">
        <v>274</v>
      </c>
      <c r="CF6" s="399" t="s">
        <v>275</v>
      </c>
      <c r="CG6" s="399" t="s">
        <v>287</v>
      </c>
      <c r="CH6" s="399" t="s">
        <v>288</v>
      </c>
      <c r="CI6" s="399" t="s">
        <v>289</v>
      </c>
      <c r="CJ6" s="399" t="s">
        <v>568</v>
      </c>
      <c r="CK6" s="399" t="s">
        <v>350</v>
      </c>
      <c r="CL6" s="399" t="s">
        <v>286</v>
      </c>
      <c r="CM6" s="399" t="s">
        <v>439</v>
      </c>
      <c r="CN6" s="399" t="s">
        <v>290</v>
      </c>
      <c r="CO6" s="399" t="s">
        <v>291</v>
      </c>
      <c r="CP6" s="399" t="s">
        <v>292</v>
      </c>
      <c r="CQ6" s="399" t="s">
        <v>293</v>
      </c>
      <c r="CR6" s="399" t="s">
        <v>569</v>
      </c>
      <c r="CS6" s="396" t="s">
        <v>417</v>
      </c>
      <c r="CT6" s="391" t="s">
        <v>570</v>
      </c>
      <c r="CU6" s="391" t="s">
        <v>571</v>
      </c>
      <c r="CV6" s="391" t="s">
        <v>411</v>
      </c>
      <c r="CW6" s="397" t="s">
        <v>572</v>
      </c>
      <c r="CX6" s="391" t="s">
        <v>585</v>
      </c>
    </row>
  </sheetData>
  <sheetProtection selectLockedCells="1"/>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enableFormatConditionsCalculation="0"/>
  <dimension ref="A1:BF56"/>
  <sheetViews>
    <sheetView showGridLines="0" showRowColHeaders="0" showOutlineSymbols="0" workbookViewId="0">
      <selection activeCell="E21" sqref="E21"/>
    </sheetView>
  </sheetViews>
  <sheetFormatPr baseColWidth="10" defaultColWidth="10.85546875" defaultRowHeight="12.75" x14ac:dyDescent="0.2"/>
  <cols>
    <col min="1" max="1" width="21.7109375" style="9" customWidth="1"/>
    <col min="2" max="2" width="17.7109375" style="9" customWidth="1"/>
    <col min="3" max="3" width="16.7109375" style="26" customWidth="1"/>
    <col min="4" max="4" width="16.7109375" style="27" customWidth="1"/>
    <col min="5" max="5" width="12.42578125" style="27" customWidth="1"/>
    <col min="6" max="6" width="9.7109375" style="27" customWidth="1"/>
    <col min="7" max="7" width="10.42578125" style="27" customWidth="1"/>
    <col min="8" max="8" width="10.7109375" style="9" customWidth="1"/>
    <col min="9" max="9" width="10.42578125" style="9" customWidth="1"/>
    <col min="10" max="10" width="8.85546875" style="9" customWidth="1"/>
    <col min="11" max="11" width="9.28515625" style="9" customWidth="1"/>
    <col min="12" max="12" width="12.140625" style="9" customWidth="1"/>
    <col min="13" max="13" width="2.7109375" style="9" customWidth="1"/>
    <col min="14" max="14" width="20.7109375" style="9" customWidth="1"/>
    <col min="15" max="15" width="2.7109375" style="9" customWidth="1"/>
    <col min="16" max="16" width="14.28515625" style="9" customWidth="1"/>
    <col min="17" max="17" width="2.7109375" style="9" customWidth="1"/>
    <col min="18" max="18" width="5.85546875" style="9" customWidth="1"/>
    <col min="19" max="19" width="6.42578125" style="9" customWidth="1"/>
    <col min="20" max="20" width="2.42578125" style="9" customWidth="1"/>
    <col min="21" max="21" width="12.28515625" style="9" customWidth="1"/>
    <col min="22" max="16384" width="10.85546875" style="9"/>
  </cols>
  <sheetData>
    <row r="1" spans="1:58" s="21" customFormat="1" ht="15" x14ac:dyDescent="0.2">
      <c r="A1" s="155" t="s">
        <v>84</v>
      </c>
      <c r="B1" s="156"/>
      <c r="C1" s="155"/>
      <c r="D1" s="155"/>
      <c r="E1" s="155"/>
      <c r="F1" s="155"/>
      <c r="G1" s="155"/>
      <c r="H1" s="155"/>
      <c r="I1" s="155"/>
      <c r="J1" s="155"/>
      <c r="K1" s="155"/>
      <c r="L1" s="155"/>
      <c r="M1" s="155"/>
      <c r="N1" s="155"/>
      <c r="O1" s="155"/>
      <c r="P1" s="155"/>
      <c r="Q1" s="155"/>
      <c r="R1" s="155"/>
      <c r="S1" s="155"/>
      <c r="AK1" s="22"/>
      <c r="AL1" s="22"/>
      <c r="AM1" s="22"/>
      <c r="BD1" s="22"/>
      <c r="BE1" s="22"/>
      <c r="BF1" s="22"/>
    </row>
    <row r="2" spans="1:58" s="23" customFormat="1" ht="101.25" customHeight="1" x14ac:dyDescent="0.2">
      <c r="A2" s="98" t="s">
        <v>14</v>
      </c>
      <c r="B2" s="98" t="str">
        <f>'C-L'!D1</f>
        <v>Lift type</v>
      </c>
      <c r="C2" s="157" t="s">
        <v>8</v>
      </c>
      <c r="D2" s="158" t="s">
        <v>9</v>
      </c>
      <c r="E2" s="158" t="str">
        <f>'C-L'!G1</f>
        <v>Distance between vehicles (on average)</v>
      </c>
      <c r="F2" s="159" t="s">
        <v>56</v>
      </c>
      <c r="G2" s="158" t="str">
        <f>'     2-DL     '!F4</f>
        <v>T1
Access time to the tower and to arrive to the first vehicle</v>
      </c>
      <c r="H2" s="158" t="str">
        <f>'     2-DL     '!H4</f>
        <v>T2
Average time to evacuate a full vehicle and to go to the next one</v>
      </c>
      <c r="I2" s="158" t="str">
        <f>'     2-DL     '!J4</f>
        <v>T3
Time to cross a tower between two vehicles of the same section</v>
      </c>
      <c r="J2" s="159" t="s">
        <v>54</v>
      </c>
      <c r="K2" s="159" t="s">
        <v>53</v>
      </c>
      <c r="L2" s="159" t="s">
        <v>54</v>
      </c>
      <c r="M2" s="160"/>
      <c r="N2" s="98" t="s">
        <v>23</v>
      </c>
      <c r="O2" s="160"/>
      <c r="P2" s="98" t="s">
        <v>20</v>
      </c>
      <c r="Q2" s="160"/>
      <c r="R2" s="158" t="s">
        <v>29</v>
      </c>
      <c r="S2" s="158" t="s">
        <v>29</v>
      </c>
      <c r="T2" s="9"/>
      <c r="U2" s="133" t="str">
        <f>'C-L'!CD1</f>
        <v>Data entry type</v>
      </c>
    </row>
    <row r="3" spans="1:58" s="24" customFormat="1" x14ac:dyDescent="0.2">
      <c r="A3" s="98">
        <v>1</v>
      </c>
      <c r="B3" s="161" t="str">
        <f>'C-L'!AU1&amp;" 2 "&amp;'C-L'!AQ1</f>
        <v>CLF 2 Seats</v>
      </c>
      <c r="C3" s="162" t="str">
        <f>2&amp;" "&amp;'C-L'!$AS$1</f>
        <v>2  prs.</v>
      </c>
      <c r="D3" s="163" t="str">
        <f>13&amp;" "&amp;'C-L'!AT1</f>
        <v>13  veh.</v>
      </c>
      <c r="E3" s="164" t="str">
        <f>'C-L'!$CP$1&amp;" 15 m "&amp;'C-L'!$CQ$1&amp;" 30 m"</f>
        <v xml:space="preserve"> from 15 m  to 30 m</v>
      </c>
      <c r="F3" s="165" t="str">
        <f>5&amp;" "&amp;'C-L'!$AR$1</f>
        <v>5  mn.</v>
      </c>
      <c r="G3" s="166" t="str">
        <f>"x + "&amp;F3</f>
        <v>x + 5  mn.</v>
      </c>
      <c r="H3" s="166" t="str">
        <f>10&amp;" "&amp;'C-L'!$AR$1</f>
        <v>10  mn.</v>
      </c>
      <c r="I3" s="166" t="str">
        <f>3&amp;" "&amp;'C-L'!$AR$1</f>
        <v>3  mn.</v>
      </c>
      <c r="J3" s="168">
        <v>3.5</v>
      </c>
      <c r="K3" s="167" t="str">
        <f>10&amp;" "&amp;'C-L'!$AR$1</f>
        <v>10  mn.</v>
      </c>
      <c r="L3" s="168">
        <f t="shared" ref="L3:L18" si="0">1+J3</f>
        <v>4.5</v>
      </c>
      <c r="M3" s="169"/>
      <c r="N3" s="161" t="s">
        <v>21</v>
      </c>
      <c r="O3" s="169"/>
      <c r="P3" s="161" t="str">
        <f>'C-L'!BT1</f>
        <v>Similars spans</v>
      </c>
      <c r="Q3" s="169"/>
      <c r="R3" s="161" t="str">
        <f>NomG2</f>
        <v>G2</v>
      </c>
      <c r="S3" s="161"/>
      <c r="T3" s="9"/>
      <c r="U3" s="25" t="str">
        <f>'C-L'!CE1</f>
        <v>Automatic entry</v>
      </c>
    </row>
    <row r="4" spans="1:58" s="24" customFormat="1" x14ac:dyDescent="0.2">
      <c r="A4" s="98">
        <v>2</v>
      </c>
      <c r="B4" s="161" t="str">
        <f>'C-L'!AU1&amp;" 3 "&amp;'C-L'!AQ1</f>
        <v>CLF 3 Seats</v>
      </c>
      <c r="C4" s="162" t="str">
        <f>3&amp;" "&amp;'C-L'!$AS$1</f>
        <v>3  prs.</v>
      </c>
      <c r="D4" s="170" t="str">
        <f>13&amp;" "&amp;'C-L'!AT1</f>
        <v>13  veh.</v>
      </c>
      <c r="E4" s="164" t="str">
        <f>'C-L'!$CP$1&amp;" 13,8 m "&amp;'C-L'!$CQ$1&amp;" 25 m"</f>
        <v xml:space="preserve"> from 13,8 m  to 25 m</v>
      </c>
      <c r="F4" s="165" t="str">
        <f>5&amp;" "&amp;'C-L'!$AR$1</f>
        <v>5  mn.</v>
      </c>
      <c r="G4" s="166" t="str">
        <f t="shared" ref="G4:G18" si="1">"x + "&amp;F4</f>
        <v>x + 5  mn.</v>
      </c>
      <c r="H4" s="166" t="str">
        <f>13&amp;" "&amp;'C-L'!$AR$1</f>
        <v>13  mn.</v>
      </c>
      <c r="I4" s="166" t="str">
        <f>3&amp;" "&amp;'C-L'!$AR$1</f>
        <v>3  mn.</v>
      </c>
      <c r="J4" s="168">
        <v>3.5</v>
      </c>
      <c r="K4" s="167" t="str">
        <f>12&amp;" "&amp;'C-L'!$AR$1</f>
        <v>12  mn.</v>
      </c>
      <c r="L4" s="168">
        <f t="shared" si="0"/>
        <v>4.5</v>
      </c>
      <c r="M4" s="169"/>
      <c r="N4" s="161" t="s">
        <v>28</v>
      </c>
      <c r="O4" s="169"/>
      <c r="P4" s="161" t="str">
        <f>'C-L'!BU1</f>
        <v>Differents spans</v>
      </c>
      <c r="Q4" s="169"/>
      <c r="R4" s="161" t="str">
        <f t="shared" ref="R4:R19" si="2">IF(OR(R3=NomG1,R3=""),"",IF(S4&gt;0,NomPortée&amp;S4,NomG1))</f>
        <v>G1</v>
      </c>
      <c r="S4" s="161">
        <f>NBPylône</f>
        <v>0</v>
      </c>
      <c r="T4" s="9"/>
      <c r="U4" s="25" t="str">
        <f>'C-L'!CF1</f>
        <v>Manual entry</v>
      </c>
    </row>
    <row r="5" spans="1:58" s="24" customFormat="1" x14ac:dyDescent="0.2">
      <c r="A5" s="98">
        <v>3</v>
      </c>
      <c r="B5" s="161" t="str">
        <f>'C-L'!AU1&amp;" 4 "&amp;'C-L'!AQ1</f>
        <v>CLF 4 Seats</v>
      </c>
      <c r="C5" s="162" t="str">
        <f>4&amp;" "&amp;'C-L'!$AS$1</f>
        <v>4  prs.</v>
      </c>
      <c r="D5" s="170" t="str">
        <f>9&amp;" "&amp;'C-L'!AT1</f>
        <v>9  veh.</v>
      </c>
      <c r="E5" s="164" t="str">
        <f>'C-L'!$CP$1&amp;" 13,8 m "&amp;'C-L'!$CQ$1&amp;" 17 m"</f>
        <v xml:space="preserve"> from 13,8 m  to 17 m</v>
      </c>
      <c r="F5" s="165" t="str">
        <f>6&amp;" "&amp;'C-L'!$AR$1</f>
        <v>6  mn.</v>
      </c>
      <c r="G5" s="166" t="str">
        <f t="shared" si="1"/>
        <v>x + 6  mn.</v>
      </c>
      <c r="H5" s="166" t="str">
        <f>16&amp;" "&amp;'C-L'!$AR$1</f>
        <v>16  mn.</v>
      </c>
      <c r="I5" s="166" t="str">
        <f>3&amp;" "&amp;'C-L'!$AR$1</f>
        <v>3  mn.</v>
      </c>
      <c r="J5" s="168">
        <v>3.5</v>
      </c>
      <c r="K5" s="167" t="str">
        <f>15&amp;" "&amp;'C-L'!$AR$1</f>
        <v>15  mn.</v>
      </c>
      <c r="L5" s="168">
        <f t="shared" si="0"/>
        <v>4.5</v>
      </c>
      <c r="M5" s="169"/>
      <c r="N5" s="169"/>
      <c r="O5" s="169"/>
      <c r="P5" s="169"/>
      <c r="Q5" s="169"/>
      <c r="R5" s="161" t="str">
        <f t="shared" si="2"/>
        <v/>
      </c>
      <c r="S5" s="161">
        <f>IF(S4&gt;0,S4-1,0)</f>
        <v>0</v>
      </c>
      <c r="T5" s="9"/>
      <c r="U5" s="9"/>
    </row>
    <row r="6" spans="1:58" s="24" customFormat="1" x14ac:dyDescent="0.2">
      <c r="A6" s="98">
        <v>4</v>
      </c>
      <c r="B6" s="161" t="str">
        <f>'C-L'!AU1&amp;" 6 "&amp;'C-L'!AQ1</f>
        <v>CLF 6 Seats</v>
      </c>
      <c r="C6" s="162" t="str">
        <f>6&amp;" "&amp;'C-L'!$AS$1</f>
        <v>6  prs.</v>
      </c>
      <c r="D6" s="170" t="str">
        <f>8&amp;" "&amp;'C-L'!AT1</f>
        <v>8  veh.</v>
      </c>
      <c r="E6" s="164" t="str">
        <f>'C-L'!$CP$1&amp;" 14 m "&amp;'C-L'!$CQ$1&amp;" 20 m"</f>
        <v xml:space="preserve"> from 14 m  to 20 m</v>
      </c>
      <c r="F6" s="165" t="str">
        <f>6&amp;" "&amp;'C-L'!$AR$1</f>
        <v>6  mn.</v>
      </c>
      <c r="G6" s="166" t="str">
        <f t="shared" si="1"/>
        <v>x + 6  mn.</v>
      </c>
      <c r="H6" s="166" t="str">
        <f>19&amp;" "&amp;'C-L'!$AR$1</f>
        <v>19  mn.</v>
      </c>
      <c r="I6" s="166" t="str">
        <f>3&amp;" "&amp;'C-L'!$AR$1</f>
        <v>3  mn.</v>
      </c>
      <c r="J6" s="168">
        <v>3.5</v>
      </c>
      <c r="K6" s="167" t="str">
        <f>18&amp;" "&amp;'C-L'!$AR$1</f>
        <v>18  mn.</v>
      </c>
      <c r="L6" s="168">
        <f t="shared" si="0"/>
        <v>4.5</v>
      </c>
      <c r="M6" s="169"/>
      <c r="N6" s="169"/>
      <c r="O6" s="169"/>
      <c r="P6" s="169"/>
      <c r="Q6" s="169"/>
      <c r="R6" s="161" t="str">
        <f t="shared" si="2"/>
        <v/>
      </c>
      <c r="S6" s="161">
        <f t="shared" ref="S6:S19" si="3">IF(S5&gt;0,S5-1,0)</f>
        <v>0</v>
      </c>
      <c r="T6" s="9"/>
      <c r="U6" s="9"/>
    </row>
    <row r="7" spans="1:58" s="24" customFormat="1" x14ac:dyDescent="0.2">
      <c r="A7" s="98">
        <v>5</v>
      </c>
      <c r="B7" s="161" t="str">
        <f>'C-L'!AV1&amp;" 2 "&amp;'C-L'!AQ1</f>
        <v>CLD 2 Seats</v>
      </c>
      <c r="C7" s="162" t="str">
        <f>2&amp;" "&amp;'C-L'!$AS$1</f>
        <v>2  prs.</v>
      </c>
      <c r="D7" s="170" t="str">
        <f>13&amp;" "&amp;'C-L'!AT1</f>
        <v>13  veh.</v>
      </c>
      <c r="E7" s="164" t="str">
        <f>'C-L'!$CP$1&amp;" 25 m "&amp;'C-L'!$CQ$1&amp;" 30 m"</f>
        <v xml:space="preserve"> from 25 m  to 30 m</v>
      </c>
      <c r="F7" s="165" t="str">
        <f>6&amp;" "&amp;'C-L'!$AR$1</f>
        <v>6  mn.</v>
      </c>
      <c r="G7" s="166" t="str">
        <f t="shared" si="1"/>
        <v>x + 6  mn.</v>
      </c>
      <c r="H7" s="166" t="str">
        <f>10&amp;" "&amp;'C-L'!$AR$1</f>
        <v>10  mn.</v>
      </c>
      <c r="I7" s="166" t="str">
        <f>3&amp;" "&amp;'C-L'!$AR$1</f>
        <v>3  mn.</v>
      </c>
      <c r="J7" s="168">
        <v>3.5</v>
      </c>
      <c r="K7" s="167" t="str">
        <f>10&amp;" "&amp;'C-L'!$AR$1</f>
        <v>10  mn.</v>
      </c>
      <c r="L7" s="168">
        <f t="shared" si="0"/>
        <v>4.5</v>
      </c>
      <c r="M7" s="169"/>
      <c r="N7" s="169"/>
      <c r="O7" s="169"/>
      <c r="P7" s="169"/>
      <c r="Q7" s="169"/>
      <c r="R7" s="161" t="str">
        <f t="shared" si="2"/>
        <v/>
      </c>
      <c r="S7" s="161">
        <f t="shared" si="3"/>
        <v>0</v>
      </c>
      <c r="T7" s="9"/>
      <c r="U7" s="9"/>
    </row>
    <row r="8" spans="1:58" s="24" customFormat="1" x14ac:dyDescent="0.2">
      <c r="A8" s="98">
        <v>6</v>
      </c>
      <c r="B8" s="161" t="str">
        <f>'C-L'!AV1&amp;" 3 "&amp;'C-L'!AQ1</f>
        <v>CLD 3 Seats</v>
      </c>
      <c r="C8" s="162" t="str">
        <f>3&amp;" "&amp;'C-L'!$AS$1</f>
        <v>3  prs.</v>
      </c>
      <c r="D8" s="170" t="str">
        <f>13&amp;" "&amp;'C-L'!AT1</f>
        <v>13  veh.</v>
      </c>
      <c r="E8" s="164" t="str">
        <f>'C-L'!$CP$1&amp;" 25 m "&amp;'C-L'!$CQ$1&amp;" 32 m"</f>
        <v xml:space="preserve"> from 25 m  to 32 m</v>
      </c>
      <c r="F8" s="165" t="str">
        <f>6&amp;" "&amp;'C-L'!$AR$1</f>
        <v>6  mn.</v>
      </c>
      <c r="G8" s="166" t="str">
        <f t="shared" si="1"/>
        <v>x + 6  mn.</v>
      </c>
      <c r="H8" s="166" t="str">
        <f>13&amp;" "&amp;'C-L'!$AR$1</f>
        <v>13  mn.</v>
      </c>
      <c r="I8" s="166" t="str">
        <f>3&amp;" "&amp;'C-L'!$AR$1</f>
        <v>3  mn.</v>
      </c>
      <c r="J8" s="168">
        <v>3.5</v>
      </c>
      <c r="K8" s="167" t="str">
        <f>12&amp;" "&amp;'C-L'!$AR$1</f>
        <v>12  mn.</v>
      </c>
      <c r="L8" s="168">
        <f t="shared" si="0"/>
        <v>4.5</v>
      </c>
      <c r="M8" s="169"/>
      <c r="N8" s="169"/>
      <c r="O8" s="169"/>
      <c r="P8" s="169"/>
      <c r="Q8" s="169"/>
      <c r="R8" s="161" t="str">
        <f t="shared" si="2"/>
        <v/>
      </c>
      <c r="S8" s="161">
        <f t="shared" si="3"/>
        <v>0</v>
      </c>
      <c r="T8" s="9"/>
      <c r="U8" s="25" t="str">
        <f>'C-L'!CE1</f>
        <v>Automatic entry</v>
      </c>
    </row>
    <row r="9" spans="1:58" s="24" customFormat="1" x14ac:dyDescent="0.2">
      <c r="A9" s="98">
        <v>7</v>
      </c>
      <c r="B9" s="161" t="str">
        <f>'C-L'!AV1&amp;" 4 "&amp;'C-L'!AQ1</f>
        <v>CLD 4 Seats</v>
      </c>
      <c r="C9" s="162" t="str">
        <f>4&amp;" "&amp;'C-L'!$AS$1</f>
        <v>4  prs.</v>
      </c>
      <c r="D9" s="170" t="str">
        <f>9&amp;" "&amp;'C-L'!AT1</f>
        <v>9  veh.</v>
      </c>
      <c r="E9" s="164" t="str">
        <f>'C-L'!$CP$1&amp;" 25 m "&amp;'C-L'!$CQ$1&amp;" 36 m"</f>
        <v xml:space="preserve"> from 25 m  to 36 m</v>
      </c>
      <c r="F9" s="165" t="str">
        <f>7&amp;" "&amp;'C-L'!$AR$1</f>
        <v>7  mn.</v>
      </c>
      <c r="G9" s="166" t="str">
        <f t="shared" si="1"/>
        <v>x + 7  mn.</v>
      </c>
      <c r="H9" s="166" t="str">
        <f>16&amp;" "&amp;'C-L'!$AR$1</f>
        <v>16  mn.</v>
      </c>
      <c r="I9" s="166" t="str">
        <f>3&amp;" "&amp;'C-L'!$AR$1</f>
        <v>3  mn.</v>
      </c>
      <c r="J9" s="168">
        <v>3.5</v>
      </c>
      <c r="K9" s="167" t="str">
        <f>15&amp;" "&amp;'C-L'!$AR$1</f>
        <v>15  mn.</v>
      </c>
      <c r="L9" s="168">
        <f t="shared" si="0"/>
        <v>4.5</v>
      </c>
      <c r="M9" s="169"/>
      <c r="N9" s="169"/>
      <c r="O9" s="169"/>
      <c r="P9" s="169"/>
      <c r="Q9" s="169"/>
      <c r="R9" s="161" t="str">
        <f t="shared" si="2"/>
        <v/>
      </c>
      <c r="S9" s="161">
        <f t="shared" si="3"/>
        <v>0</v>
      </c>
      <c r="T9" s="9"/>
      <c r="U9" s="25" t="str">
        <f>'C-L'!CF1</f>
        <v>Manual entry</v>
      </c>
    </row>
    <row r="10" spans="1:58" s="24" customFormat="1" x14ac:dyDescent="0.2">
      <c r="A10" s="98">
        <v>8</v>
      </c>
      <c r="B10" s="161" t="str">
        <f>'C-L'!AV1&amp;" 6 "&amp;'C-L'!AQ1</f>
        <v>CLD 6 Seats</v>
      </c>
      <c r="C10" s="162" t="str">
        <f>6&amp;" "&amp;'C-L'!$AS$1</f>
        <v>6  prs.</v>
      </c>
      <c r="D10" s="170" t="str">
        <f>9&amp;" "&amp;'C-L'!AT1</f>
        <v>9  veh.</v>
      </c>
      <c r="E10" s="164" t="str">
        <f>'C-L'!$CP$1&amp;" 30 m "&amp;'C-L'!$CQ$1&amp;" 60 m"</f>
        <v xml:space="preserve"> from 30 m  to 60 m</v>
      </c>
      <c r="F10" s="165" t="str">
        <f>7&amp;" "&amp;'C-L'!$AR$1</f>
        <v>7  mn.</v>
      </c>
      <c r="G10" s="166" t="str">
        <f t="shared" si="1"/>
        <v>x + 7  mn.</v>
      </c>
      <c r="H10" s="166" t="str">
        <f>19&amp;" "&amp;'C-L'!$AR$1</f>
        <v>19  mn.</v>
      </c>
      <c r="I10" s="166" t="str">
        <f>3&amp;" "&amp;'C-L'!$AR$1</f>
        <v>3  mn.</v>
      </c>
      <c r="J10" s="168">
        <v>3.5</v>
      </c>
      <c r="K10" s="167" t="str">
        <f>15&amp;" "&amp;'C-L'!$AR$1</f>
        <v>15  mn.</v>
      </c>
      <c r="L10" s="168">
        <f t="shared" si="0"/>
        <v>4.5</v>
      </c>
      <c r="M10" s="169"/>
      <c r="N10" s="169"/>
      <c r="O10" s="169"/>
      <c r="P10" s="169"/>
      <c r="Q10" s="169"/>
      <c r="R10" s="161" t="str">
        <f t="shared" si="2"/>
        <v/>
      </c>
      <c r="S10" s="161">
        <f t="shared" si="3"/>
        <v>0</v>
      </c>
      <c r="T10" s="9"/>
      <c r="U10" s="9"/>
    </row>
    <row r="11" spans="1:58" s="24" customFormat="1" x14ac:dyDescent="0.2">
      <c r="A11" s="98">
        <v>9</v>
      </c>
      <c r="B11" s="161" t="str">
        <f>'C-L'!AV1&amp;" 8 "&amp;'C-L'!AQ1</f>
        <v>CLD 8 Seats</v>
      </c>
      <c r="C11" s="162" t="str">
        <f>8&amp;" "&amp;'C-L'!$AS$1</f>
        <v>8  prs.</v>
      </c>
      <c r="D11" s="170" t="str">
        <f>7&amp;" "&amp;'C-L'!AT1</f>
        <v>7  veh.</v>
      </c>
      <c r="E11" s="164" t="str">
        <f>'C-L'!$CP$1&amp;" 34 m "&amp;'C-L'!$CQ$1&amp;" 48 m"</f>
        <v xml:space="preserve"> from 34 m  to 48 m</v>
      </c>
      <c r="F11" s="165" t="str">
        <f>7&amp;" "&amp;'C-L'!$AR$1</f>
        <v>7  mn.</v>
      </c>
      <c r="G11" s="166" t="str">
        <f t="shared" si="1"/>
        <v>x + 7  mn.</v>
      </c>
      <c r="H11" s="166" t="str">
        <f>22&amp;" "&amp;'C-L'!$AR$1</f>
        <v>22  mn.</v>
      </c>
      <c r="I11" s="166" t="str">
        <f>3&amp;" "&amp;'C-L'!$AR$1</f>
        <v>3  mn.</v>
      </c>
      <c r="J11" s="168">
        <v>3.5</v>
      </c>
      <c r="K11" s="167" t="str">
        <f>21&amp;" "&amp;'C-L'!$AR$1</f>
        <v>21  mn.</v>
      </c>
      <c r="L11" s="168">
        <f t="shared" si="0"/>
        <v>4.5</v>
      </c>
      <c r="M11" s="169"/>
      <c r="N11" s="169"/>
      <c r="O11" s="169"/>
      <c r="P11" s="169"/>
      <c r="Q11" s="169"/>
      <c r="R11" s="161" t="str">
        <f t="shared" si="2"/>
        <v/>
      </c>
      <c r="S11" s="161">
        <f t="shared" si="3"/>
        <v>0</v>
      </c>
      <c r="T11" s="9"/>
      <c r="U11" s="9"/>
    </row>
    <row r="12" spans="1:58" s="24" customFormat="1" x14ac:dyDescent="0.2">
      <c r="A12" s="98">
        <v>10</v>
      </c>
      <c r="B12" s="161" t="str">
        <f>'C-L'!AW1&amp;" 4 "&amp;'C-L'!AQ1</f>
        <v>MGD 4 Seats</v>
      </c>
      <c r="C12" s="162" t="str">
        <f>4&amp;" "&amp;'C-L'!$AS$1</f>
        <v>4  prs.</v>
      </c>
      <c r="D12" s="170" t="str">
        <f>8&amp;" "&amp;'C-L'!AT1</f>
        <v>8  veh.</v>
      </c>
      <c r="E12" s="164" t="str">
        <f>'C-L'!$CP$1&amp;" 36 m "&amp;'C-L'!$CQ$1&amp;" 50 m"</f>
        <v xml:space="preserve"> from 36 m  to 50 m</v>
      </c>
      <c r="F12" s="165" t="str">
        <f>8&amp;" "&amp;'C-L'!$AR$1</f>
        <v>8  mn.</v>
      </c>
      <c r="G12" s="166" t="str">
        <f t="shared" si="1"/>
        <v>x + 8  mn.</v>
      </c>
      <c r="H12" s="166" t="str">
        <f>17&amp;" "&amp;'C-L'!$AR$1</f>
        <v>17  mn.</v>
      </c>
      <c r="I12" s="166" t="str">
        <f>3&amp;" "&amp;'C-L'!$AR$1</f>
        <v>3  mn.</v>
      </c>
      <c r="J12" s="168">
        <v>6</v>
      </c>
      <c r="K12" s="167" t="str">
        <f>16&amp;" "&amp;'C-L'!$AR$1</f>
        <v>16  mn.</v>
      </c>
      <c r="L12" s="168">
        <f t="shared" si="0"/>
        <v>7</v>
      </c>
      <c r="M12" s="169"/>
      <c r="N12" s="169"/>
      <c r="O12" s="169"/>
      <c r="P12" s="169"/>
      <c r="Q12" s="169"/>
      <c r="R12" s="161" t="str">
        <f t="shared" si="2"/>
        <v/>
      </c>
      <c r="S12" s="161">
        <f t="shared" si="3"/>
        <v>0</v>
      </c>
      <c r="T12" s="9"/>
      <c r="U12" s="9"/>
    </row>
    <row r="13" spans="1:58" x14ac:dyDescent="0.2">
      <c r="A13" s="98">
        <v>11</v>
      </c>
      <c r="B13" s="161" t="str">
        <f>'C-L'!AW1&amp;" 6 "&amp;'C-L'!AQ1</f>
        <v>MGD 6 Seats</v>
      </c>
      <c r="C13" s="162" t="str">
        <f>6&amp;" "&amp;'C-L'!$AS$1</f>
        <v>6  prs.</v>
      </c>
      <c r="D13" s="170" t="str">
        <f>7&amp;" "&amp;'C-L'!AT1</f>
        <v>7  veh.</v>
      </c>
      <c r="E13" s="164" t="str">
        <f>'C-L'!$CP$1&amp;" 38 m "&amp;'C-L'!$CQ$1&amp;" 70 m"</f>
        <v xml:space="preserve"> from 38 m  to 70 m</v>
      </c>
      <c r="F13" s="165" t="str">
        <f>8&amp;" "&amp;'C-L'!$AR$1</f>
        <v>8  mn.</v>
      </c>
      <c r="G13" s="166" t="str">
        <f t="shared" si="1"/>
        <v>x + 8  mn.</v>
      </c>
      <c r="H13" s="166" t="str">
        <f>21&amp;" "&amp;'C-L'!$AR$1</f>
        <v>21  mn.</v>
      </c>
      <c r="I13" s="166" t="str">
        <f>3&amp;" "&amp;'C-L'!$AR$1</f>
        <v>3  mn.</v>
      </c>
      <c r="J13" s="168">
        <v>6</v>
      </c>
      <c r="K13" s="167" t="str">
        <f>20&amp;" "&amp;'C-L'!$AR$1</f>
        <v>20  mn.</v>
      </c>
      <c r="L13" s="168">
        <f t="shared" si="0"/>
        <v>7</v>
      </c>
      <c r="M13" s="171"/>
      <c r="N13" s="171"/>
      <c r="O13" s="171"/>
      <c r="P13" s="171"/>
      <c r="Q13" s="171"/>
      <c r="R13" s="161" t="str">
        <f t="shared" si="2"/>
        <v/>
      </c>
      <c r="S13" s="161">
        <f t="shared" si="3"/>
        <v>0</v>
      </c>
    </row>
    <row r="14" spans="1:58" x14ac:dyDescent="0.2">
      <c r="A14" s="98">
        <v>12</v>
      </c>
      <c r="B14" s="161" t="str">
        <f>'C-L'!AW1&amp;" 8 "&amp;'C-L'!AQ1</f>
        <v>MGD 8 Seats</v>
      </c>
      <c r="C14" s="162" t="str">
        <f>8&amp;" "&amp;'C-L'!$AS$1</f>
        <v>8  prs.</v>
      </c>
      <c r="D14" s="170" t="str">
        <f>6&amp;" "&amp;'C-L'!AT1</f>
        <v>6  veh.</v>
      </c>
      <c r="E14" s="164" t="str">
        <f>'C-L'!$CP$1&amp;" 42 m "&amp;'C-L'!$CQ$1&amp;" 85 m"</f>
        <v xml:space="preserve"> from 42 m  to 85 m</v>
      </c>
      <c r="F14" s="165" t="str">
        <f>8&amp;" "&amp;'C-L'!$AR$1</f>
        <v>8  mn.</v>
      </c>
      <c r="G14" s="166" t="str">
        <f t="shared" si="1"/>
        <v>x + 8  mn.</v>
      </c>
      <c r="H14" s="166" t="str">
        <f>24&amp;" "&amp;'C-L'!$AR$1</f>
        <v>24  mn.</v>
      </c>
      <c r="I14" s="166" t="str">
        <f>3&amp;" "&amp;'C-L'!$AR$1</f>
        <v>3  mn.</v>
      </c>
      <c r="J14" s="168">
        <v>6</v>
      </c>
      <c r="K14" s="167" t="str">
        <f>24&amp;" "&amp;'C-L'!$AR$1</f>
        <v>24  mn.</v>
      </c>
      <c r="L14" s="168">
        <f t="shared" si="0"/>
        <v>7</v>
      </c>
      <c r="M14" s="171"/>
      <c r="N14" s="171"/>
      <c r="O14" s="171"/>
      <c r="P14" s="171"/>
      <c r="Q14" s="171"/>
      <c r="R14" s="161" t="str">
        <f t="shared" si="2"/>
        <v/>
      </c>
      <c r="S14" s="161">
        <f t="shared" si="3"/>
        <v>0</v>
      </c>
    </row>
    <row r="15" spans="1:58" x14ac:dyDescent="0.2">
      <c r="A15" s="98">
        <v>13</v>
      </c>
      <c r="B15" s="161" t="str">
        <f>'C-L'!AW1&amp;" 10 "&amp;'C-L'!AQ1</f>
        <v>MGD 10 Seats</v>
      </c>
      <c r="C15" s="162" t="str">
        <f>10&amp;" "&amp;'C-L'!$AS$1</f>
        <v>10  prs.</v>
      </c>
      <c r="D15" s="170" t="str">
        <f>5&amp;" "&amp;'C-L'!AT1</f>
        <v>5  veh.</v>
      </c>
      <c r="E15" s="164" t="str">
        <f>'C-L'!$CP$1&amp;" 50 m "&amp;'C-L'!$CQ$1&amp;" 100 m"</f>
        <v xml:space="preserve"> from 50 m  to 100 m</v>
      </c>
      <c r="F15" s="165" t="str">
        <f>9&amp;" "&amp;'C-L'!$AR$1</f>
        <v>9  mn.</v>
      </c>
      <c r="G15" s="166" t="str">
        <f t="shared" si="1"/>
        <v>x + 9  mn.</v>
      </c>
      <c r="H15" s="166" t="str">
        <f>30&amp;" "&amp;'C-L'!$AR$1</f>
        <v>30  mn.</v>
      </c>
      <c r="I15" s="166" t="str">
        <f>3&amp;" "&amp;'C-L'!$AR$1</f>
        <v>3  mn.</v>
      </c>
      <c r="J15" s="168">
        <v>6</v>
      </c>
      <c r="K15" s="167" t="str">
        <f>30&amp;" "&amp;'C-L'!$AR$1</f>
        <v>30  mn.</v>
      </c>
      <c r="L15" s="168">
        <f t="shared" si="0"/>
        <v>7</v>
      </c>
      <c r="M15" s="171"/>
      <c r="N15" s="171"/>
      <c r="O15" s="171"/>
      <c r="P15" s="171"/>
      <c r="Q15" s="171"/>
      <c r="R15" s="161" t="str">
        <f t="shared" si="2"/>
        <v/>
      </c>
      <c r="S15" s="161">
        <f t="shared" si="3"/>
        <v>0</v>
      </c>
    </row>
    <row r="16" spans="1:58" x14ac:dyDescent="0.2">
      <c r="A16" s="98">
        <v>14</v>
      </c>
      <c r="B16" s="161" t="str">
        <f>'C-L'!AW1&amp;" 12 "&amp;'C-L'!AQ1</f>
        <v>MGD 12 Seats</v>
      </c>
      <c r="C16" s="162" t="str">
        <f>12&amp;" "&amp;'C-L'!$AS$1</f>
        <v>12  prs.</v>
      </c>
      <c r="D16" s="170" t="str">
        <f>4&amp;" "&amp;'C-L'!AT1</f>
        <v>4  veh.</v>
      </c>
      <c r="E16" s="164" t="str">
        <f>'C-L'!$CP$1&amp;" 75 m "&amp;'C-L'!$CQ$1&amp;" 120 m"</f>
        <v xml:space="preserve"> from 75 m  to 120 m</v>
      </c>
      <c r="F16" s="165" t="str">
        <f>9&amp;" "&amp;'C-L'!$AR$1</f>
        <v>9  mn.</v>
      </c>
      <c r="G16" s="166" t="str">
        <f t="shared" si="1"/>
        <v>x + 9  mn.</v>
      </c>
      <c r="H16" s="166" t="str">
        <f>36&amp;" "&amp;'C-L'!$AR$1</f>
        <v>36  mn.</v>
      </c>
      <c r="I16" s="166" t="str">
        <f>4&amp;" "&amp;'C-L'!$AR$1</f>
        <v>4  mn.</v>
      </c>
      <c r="J16" s="168">
        <v>7</v>
      </c>
      <c r="K16" s="167" t="str">
        <f>35&amp;" "&amp;'C-L'!$AR$1</f>
        <v>35  mn.</v>
      </c>
      <c r="L16" s="168">
        <f t="shared" si="0"/>
        <v>8</v>
      </c>
      <c r="M16" s="171"/>
      <c r="N16" s="171"/>
      <c r="O16" s="171"/>
      <c r="P16" s="171"/>
      <c r="Q16" s="171"/>
      <c r="R16" s="161" t="str">
        <f t="shared" si="2"/>
        <v/>
      </c>
      <c r="S16" s="161">
        <f t="shared" si="3"/>
        <v>0</v>
      </c>
    </row>
    <row r="17" spans="1:19" x14ac:dyDescent="0.2">
      <c r="A17" s="98">
        <v>15</v>
      </c>
      <c r="B17" s="161" t="str">
        <f>'C-L'!AW1&amp;" 16 "&amp;'C-L'!AQ1</f>
        <v>MGD 16 Seats</v>
      </c>
      <c r="C17" s="162" t="str">
        <f>16&amp;" "&amp;'C-L'!$AS$1</f>
        <v>16  prs.</v>
      </c>
      <c r="D17" s="170" t="str">
        <f>4&amp;" "&amp;'C-L'!AT1</f>
        <v>4  veh.</v>
      </c>
      <c r="E17" s="164" t="str">
        <f>'C-L'!$CP$1&amp;" 100 m "&amp;'C-L'!$CQ$1&amp;" 150 m"</f>
        <v xml:space="preserve"> from 100 m  to 150 m</v>
      </c>
      <c r="F17" s="165" t="str">
        <f>10&amp;" "&amp;'C-L'!$AR$1</f>
        <v>10  mn.</v>
      </c>
      <c r="G17" s="166" t="str">
        <f t="shared" si="1"/>
        <v>x + 10  mn.</v>
      </c>
      <c r="H17" s="166" t="str">
        <f>41&amp;" "&amp;'C-L'!$AR$1</f>
        <v>41  mn.</v>
      </c>
      <c r="I17" s="166" t="str">
        <f>4&amp;" "&amp;'C-L'!$AR$1</f>
        <v>4  mn.</v>
      </c>
      <c r="J17" s="168">
        <v>8</v>
      </c>
      <c r="K17" s="167" t="str">
        <f>40&amp;" "&amp;'C-L'!$AR$1</f>
        <v>40  mn.</v>
      </c>
      <c r="L17" s="168">
        <f t="shared" si="0"/>
        <v>9</v>
      </c>
      <c r="M17" s="171"/>
      <c r="N17" s="171"/>
      <c r="O17" s="171"/>
      <c r="P17" s="171"/>
      <c r="Q17" s="171"/>
      <c r="R17" s="161" t="str">
        <f t="shared" si="2"/>
        <v/>
      </c>
      <c r="S17" s="161">
        <f t="shared" si="3"/>
        <v>0</v>
      </c>
    </row>
    <row r="18" spans="1:19" x14ac:dyDescent="0.2">
      <c r="A18" s="98">
        <v>16</v>
      </c>
      <c r="B18" s="161" t="str">
        <f>'C-L'!AW1&amp;" 20 "&amp;'C-L'!AQ1</f>
        <v>MGD 20 Seats</v>
      </c>
      <c r="C18" s="162" t="str">
        <f>20&amp;" "&amp;'C-L'!$AS$1</f>
        <v>20  prs.</v>
      </c>
      <c r="D18" s="170" t="str">
        <f>3&amp;" "&amp;'C-L'!AT1</f>
        <v>3  veh.</v>
      </c>
      <c r="E18" s="172" t="str">
        <f>'C-L'!$CS$1</f>
        <v>unknown</v>
      </c>
      <c r="F18" s="165" t="str">
        <f>10&amp;" "&amp;'C-L'!$AR$1</f>
        <v>10  mn.</v>
      </c>
      <c r="G18" s="166" t="str">
        <f t="shared" si="1"/>
        <v>x + 10  mn.</v>
      </c>
      <c r="H18" s="166" t="str">
        <f>46&amp;" "&amp;'C-L'!$AR$1</f>
        <v>46  mn.</v>
      </c>
      <c r="I18" s="166" t="str">
        <f>5&amp;" "&amp;'C-L'!$AR$1</f>
        <v>5  mn.</v>
      </c>
      <c r="J18" s="168">
        <v>9</v>
      </c>
      <c r="K18" s="167" t="str">
        <f>45&amp;" "&amp;'C-L'!$AR$1</f>
        <v>45  mn.</v>
      </c>
      <c r="L18" s="168">
        <f t="shared" si="0"/>
        <v>10</v>
      </c>
      <c r="M18" s="171"/>
      <c r="N18" s="171"/>
      <c r="O18" s="171"/>
      <c r="P18" s="171"/>
      <c r="Q18" s="171"/>
      <c r="R18" s="161" t="str">
        <f t="shared" si="2"/>
        <v/>
      </c>
      <c r="S18" s="161">
        <f t="shared" si="3"/>
        <v>0</v>
      </c>
    </row>
    <row r="19" spans="1:19" x14ac:dyDescent="0.2">
      <c r="A19" s="98">
        <v>17</v>
      </c>
      <c r="B19" s="173" t="str">
        <f>'C-L'!CN1</f>
        <v>other</v>
      </c>
      <c r="C19" s="174" t="str">
        <f>'C-L'!$CO$1</f>
        <v>your choice</v>
      </c>
      <c r="D19" s="174" t="str">
        <f>'C-L'!$CO$1</f>
        <v>your choice</v>
      </c>
      <c r="E19" s="174" t="str">
        <f>'C-L'!$CO$1</f>
        <v>your choice</v>
      </c>
      <c r="F19" s="165" t="str">
        <f>'C-L'!$CO$1</f>
        <v>your choice</v>
      </c>
      <c r="G19" s="174" t="str">
        <f>'C-L'!$CO$1</f>
        <v>your choice</v>
      </c>
      <c r="H19" s="174" t="str">
        <f>'C-L'!$CO$1</f>
        <v>your choice</v>
      </c>
      <c r="I19" s="174" t="s">
        <v>219</v>
      </c>
      <c r="J19" s="174" t="s">
        <v>55</v>
      </c>
      <c r="K19" s="174" t="str">
        <f>'C-L'!$CO$1</f>
        <v>your choice</v>
      </c>
      <c r="L19" s="174" t="str">
        <f>'C-L'!$CO$1</f>
        <v>your choice</v>
      </c>
      <c r="M19" s="171"/>
      <c r="N19" s="171"/>
      <c r="O19" s="171"/>
      <c r="P19" s="171"/>
      <c r="Q19" s="171"/>
      <c r="R19" s="161" t="str">
        <f t="shared" si="2"/>
        <v/>
      </c>
      <c r="S19" s="161">
        <f t="shared" si="3"/>
        <v>0</v>
      </c>
    </row>
    <row r="20" spans="1:19" x14ac:dyDescent="0.2">
      <c r="A20" s="171"/>
      <c r="B20" s="171"/>
      <c r="C20" s="171"/>
      <c r="D20" s="171"/>
      <c r="E20" s="171"/>
      <c r="F20" s="171"/>
      <c r="G20" s="171"/>
      <c r="H20" s="171"/>
      <c r="I20" s="171"/>
      <c r="J20" s="171"/>
      <c r="K20" s="171"/>
      <c r="L20" s="171"/>
      <c r="M20" s="171"/>
      <c r="N20" s="171"/>
      <c r="O20" s="171"/>
      <c r="P20" s="171"/>
      <c r="Q20" s="171"/>
      <c r="R20" s="161" t="str">
        <f t="shared" ref="R20:R29" si="4">IF(OR(R19=NomG1,R19=""),"",IF(S20&gt;0,NomPortée&amp;S20,NomG1))</f>
        <v/>
      </c>
      <c r="S20" s="161">
        <f t="shared" ref="S20:S29" si="5">IF(S19&gt;0,S19-1,0)</f>
        <v>0</v>
      </c>
    </row>
    <row r="21" spans="1:19" x14ac:dyDescent="0.2">
      <c r="A21" s="171"/>
      <c r="B21" s="175" t="s">
        <v>85</v>
      </c>
      <c r="C21" s="176"/>
      <c r="D21" s="177"/>
      <c r="E21" s="178">
        <v>2</v>
      </c>
      <c r="F21" s="177"/>
      <c r="G21" s="177"/>
      <c r="H21" s="171"/>
      <c r="I21" s="171"/>
      <c r="J21" s="171"/>
      <c r="K21" s="171"/>
      <c r="L21" s="171"/>
      <c r="M21" s="171"/>
      <c r="N21" s="98" t="s">
        <v>52</v>
      </c>
      <c r="O21" s="171"/>
      <c r="P21" s="98" t="s">
        <v>51</v>
      </c>
      <c r="Q21" s="171"/>
      <c r="R21" s="161" t="str">
        <f t="shared" si="4"/>
        <v/>
      </c>
      <c r="S21" s="161">
        <f t="shared" si="5"/>
        <v>0</v>
      </c>
    </row>
    <row r="22" spans="1:19" x14ac:dyDescent="0.2">
      <c r="A22" s="171"/>
      <c r="B22" s="171"/>
      <c r="C22" s="176"/>
      <c r="D22" s="177"/>
      <c r="E22" s="177"/>
      <c r="F22" s="177"/>
      <c r="G22" s="177"/>
      <c r="H22" s="171"/>
      <c r="I22" s="171"/>
      <c r="J22" s="171"/>
      <c r="K22" s="179"/>
      <c r="L22" s="179" t="s">
        <v>24</v>
      </c>
      <c r="M22" s="171"/>
      <c r="N22" s="173" t="s">
        <v>15</v>
      </c>
      <c r="O22" s="171"/>
      <c r="P22" s="180" t="str">
        <f>'C-L'!AN1</f>
        <v>Lower station</v>
      </c>
      <c r="Q22" s="171"/>
      <c r="R22" s="161" t="str">
        <f>IF(OR(R21=NomG1,R21=""),"",IF(S22&gt;0,NomPortée&amp;S22,NomG1))</f>
        <v/>
      </c>
      <c r="S22" s="161">
        <f t="shared" si="5"/>
        <v>0</v>
      </c>
    </row>
    <row r="23" spans="1:19" ht="12.75" customHeight="1" x14ac:dyDescent="0.2">
      <c r="A23" s="458" t="s">
        <v>48</v>
      </c>
      <c r="B23" s="181" t="s">
        <v>47</v>
      </c>
      <c r="C23" s="181"/>
      <c r="D23" s="181"/>
      <c r="E23" s="181"/>
      <c r="F23" s="177"/>
      <c r="G23" s="177"/>
      <c r="H23" s="171"/>
      <c r="I23" s="171"/>
      <c r="J23" s="171"/>
      <c r="K23" s="179"/>
      <c r="L23" s="179" t="s">
        <v>25</v>
      </c>
      <c r="M23" s="171"/>
      <c r="N23" s="173" t="s">
        <v>16</v>
      </c>
      <c r="O23" s="171"/>
      <c r="P23" s="180" t="str">
        <f>'C-L'!AO1</f>
        <v>Top station</v>
      </c>
      <c r="Q23" s="171"/>
      <c r="R23" s="161" t="str">
        <f t="shared" si="4"/>
        <v/>
      </c>
      <c r="S23" s="161">
        <f t="shared" si="5"/>
        <v>0</v>
      </c>
    </row>
    <row r="24" spans="1:19" x14ac:dyDescent="0.2">
      <c r="A24" s="458"/>
      <c r="B24" s="182" t="s">
        <v>7</v>
      </c>
      <c r="C24" s="176"/>
      <c r="D24" s="177"/>
      <c r="E24" s="183">
        <v>7</v>
      </c>
      <c r="F24" s="177"/>
      <c r="G24" s="177"/>
      <c r="H24" s="171"/>
      <c r="I24" s="171"/>
      <c r="J24" s="171"/>
      <c r="K24" s="179"/>
      <c r="L24" s="179" t="s">
        <v>26</v>
      </c>
      <c r="M24" s="171"/>
      <c r="N24" s="173" t="s">
        <v>27</v>
      </c>
      <c r="O24" s="171"/>
      <c r="P24" s="180"/>
      <c r="Q24" s="171"/>
      <c r="R24" s="161" t="str">
        <f t="shared" si="4"/>
        <v/>
      </c>
      <c r="S24" s="161">
        <f t="shared" si="5"/>
        <v>0</v>
      </c>
    </row>
    <row r="25" spans="1:19" x14ac:dyDescent="0.2">
      <c r="A25" s="458"/>
      <c r="B25" s="182" t="s">
        <v>18</v>
      </c>
      <c r="C25" s="176"/>
      <c r="D25" s="177"/>
      <c r="E25" s="183">
        <v>1</v>
      </c>
      <c r="F25" s="177"/>
      <c r="G25" s="177"/>
      <c r="H25" s="171"/>
      <c r="I25" s="171"/>
      <c r="J25" s="171"/>
      <c r="K25" s="171"/>
      <c r="L25" s="171"/>
      <c r="M25" s="171"/>
      <c r="N25" s="171"/>
      <c r="O25" s="171"/>
      <c r="P25" s="171"/>
      <c r="Q25" s="171"/>
      <c r="R25" s="161" t="str">
        <f>IF(OR(R24=NomG1,R24=""),"",IF(S25&gt;0,NomPortée&amp;S25,NomG1))</f>
        <v/>
      </c>
      <c r="S25" s="161">
        <f>IF(S24&gt;0,S24-1,0)</f>
        <v>0</v>
      </c>
    </row>
    <row r="26" spans="1:19" x14ac:dyDescent="0.2">
      <c r="A26" s="458"/>
      <c r="B26" s="171"/>
      <c r="C26" s="176"/>
      <c r="D26" s="177"/>
      <c r="E26" s="183">
        <v>1</v>
      </c>
      <c r="F26" s="177"/>
      <c r="G26" s="177"/>
      <c r="H26" s="171"/>
      <c r="I26" s="171"/>
      <c r="J26" s="171"/>
      <c r="K26" s="171"/>
      <c r="L26" s="171"/>
      <c r="M26" s="171"/>
      <c r="N26" s="171"/>
      <c r="O26" s="171"/>
      <c r="P26" s="171"/>
      <c r="Q26" s="171"/>
      <c r="R26" s="161" t="str">
        <f t="shared" si="4"/>
        <v/>
      </c>
      <c r="S26" s="161">
        <f t="shared" si="5"/>
        <v>0</v>
      </c>
    </row>
    <row r="27" spans="1:19" x14ac:dyDescent="0.2">
      <c r="A27" s="458"/>
      <c r="B27" s="181" t="s">
        <v>44</v>
      </c>
      <c r="C27" s="181"/>
      <c r="D27" s="181"/>
      <c r="E27" s="181"/>
      <c r="F27" s="177"/>
      <c r="G27" s="177"/>
      <c r="H27" s="171"/>
      <c r="I27" s="171"/>
      <c r="J27" s="171"/>
      <c r="K27" s="171"/>
      <c r="L27" s="171"/>
      <c r="M27" s="171"/>
      <c r="N27" s="171"/>
      <c r="O27" s="171"/>
      <c r="P27" s="171"/>
      <c r="Q27" s="171"/>
      <c r="R27" s="161" t="str">
        <f t="shared" si="4"/>
        <v/>
      </c>
      <c r="S27" s="161">
        <f t="shared" si="5"/>
        <v>0</v>
      </c>
    </row>
    <row r="28" spans="1:19" x14ac:dyDescent="0.2">
      <c r="A28" s="458"/>
      <c r="B28" s="180" t="str">
        <f>'C-L'!AC1</f>
        <v>Length of the section</v>
      </c>
      <c r="C28" s="180"/>
      <c r="D28" s="180"/>
      <c r="E28" s="183">
        <v>2</v>
      </c>
      <c r="F28" s="184" t="s">
        <v>184</v>
      </c>
      <c r="G28" s="177"/>
      <c r="H28" s="171"/>
      <c r="I28" s="171"/>
      <c r="J28" s="185">
        <v>0</v>
      </c>
      <c r="K28" s="186" t="s">
        <v>185</v>
      </c>
      <c r="L28" s="171"/>
      <c r="M28" s="171"/>
      <c r="N28" s="171"/>
      <c r="O28" s="171"/>
      <c r="P28" s="171"/>
      <c r="Q28" s="171"/>
      <c r="R28" s="161" t="str">
        <f t="shared" si="4"/>
        <v/>
      </c>
      <c r="S28" s="161">
        <f t="shared" si="5"/>
        <v>0</v>
      </c>
    </row>
    <row r="29" spans="1:19" x14ac:dyDescent="0.2">
      <c r="A29" s="458"/>
      <c r="B29" s="180" t="str">
        <f>'C-L'!AD1</f>
        <v>Access time to the tower and to arrive to the first vehicle</v>
      </c>
      <c r="C29" s="180"/>
      <c r="D29" s="180"/>
      <c r="E29" s="183">
        <v>1</v>
      </c>
      <c r="F29" s="177"/>
      <c r="G29" s="177"/>
      <c r="H29" s="171"/>
      <c r="I29" s="171"/>
      <c r="J29" s="171"/>
      <c r="K29" s="171"/>
      <c r="L29" s="171"/>
      <c r="M29" s="171"/>
      <c r="N29" s="171"/>
      <c r="O29" s="171"/>
      <c r="P29" s="171"/>
      <c r="Q29" s="171"/>
      <c r="R29" s="161" t="str">
        <f t="shared" si="4"/>
        <v/>
      </c>
      <c r="S29" s="161">
        <f t="shared" si="5"/>
        <v>0</v>
      </c>
    </row>
    <row r="30" spans="1:19" x14ac:dyDescent="0.2">
      <c r="A30" s="458"/>
      <c r="B30" s="180" t="str">
        <f>'C-L'!AE1</f>
        <v>Average time to evacuate a full vehicle and to go to the next one</v>
      </c>
      <c r="C30" s="180"/>
      <c r="D30" s="180"/>
      <c r="E30" s="183">
        <v>1</v>
      </c>
      <c r="F30" s="177"/>
      <c r="G30" s="177"/>
      <c r="H30" s="171"/>
      <c r="I30" s="171"/>
      <c r="J30" s="171"/>
      <c r="K30" s="171"/>
      <c r="L30" s="171"/>
      <c r="M30" s="171"/>
      <c r="N30" s="171"/>
      <c r="O30" s="171"/>
      <c r="P30" s="171"/>
      <c r="Q30" s="171"/>
      <c r="R30" s="171"/>
      <c r="S30" s="171"/>
    </row>
    <row r="31" spans="1:19" x14ac:dyDescent="0.2">
      <c r="A31" s="458"/>
      <c r="B31" s="180" t="str">
        <f>'C-L'!AF1</f>
        <v>Time to cross a tower between two vehicles of the same section</v>
      </c>
      <c r="C31" s="180"/>
      <c r="D31" s="180"/>
      <c r="E31" s="183">
        <v>2</v>
      </c>
      <c r="F31" s="184" t="s">
        <v>184</v>
      </c>
      <c r="G31" s="177"/>
      <c r="H31" s="171"/>
      <c r="I31" s="171"/>
      <c r="J31" s="187">
        <v>0</v>
      </c>
      <c r="K31" s="186" t="s">
        <v>185</v>
      </c>
      <c r="L31" s="171"/>
      <c r="M31" s="171"/>
      <c r="N31" s="171"/>
      <c r="O31" s="171"/>
      <c r="P31" s="171"/>
      <c r="Q31" s="171"/>
      <c r="R31" s="171"/>
      <c r="S31" s="171"/>
    </row>
    <row r="32" spans="1:19" x14ac:dyDescent="0.2">
      <c r="A32" s="188"/>
      <c r="B32" s="189"/>
      <c r="C32" s="189"/>
      <c r="D32" s="189"/>
      <c r="E32" s="190"/>
      <c r="F32" s="177"/>
      <c r="G32" s="177"/>
      <c r="H32" s="171"/>
      <c r="I32" s="171"/>
      <c r="J32" s="171"/>
      <c r="K32" s="171"/>
      <c r="L32" s="171"/>
      <c r="M32" s="171"/>
      <c r="N32" s="171"/>
      <c r="O32" s="171"/>
      <c r="P32" s="171"/>
      <c r="Q32" s="171"/>
      <c r="R32" s="171"/>
      <c r="S32" s="171"/>
    </row>
    <row r="33" spans="1:19" x14ac:dyDescent="0.2">
      <c r="A33" s="171"/>
      <c r="B33" s="181" t="s">
        <v>31</v>
      </c>
      <c r="C33" s="181"/>
      <c r="D33" s="181"/>
      <c r="E33" s="181"/>
      <c r="F33" s="177"/>
      <c r="G33" s="177"/>
      <c r="H33" s="171"/>
      <c r="I33" s="171"/>
      <c r="J33" s="171"/>
      <c r="K33" s="171"/>
      <c r="L33" s="171"/>
      <c r="M33" s="171"/>
      <c r="N33" s="171"/>
      <c r="O33" s="171"/>
      <c r="P33" s="171"/>
      <c r="Q33" s="171"/>
      <c r="R33" s="171"/>
      <c r="S33" s="171"/>
    </row>
    <row r="34" spans="1:19" x14ac:dyDescent="0.2">
      <c r="A34" s="171"/>
      <c r="B34" s="180" t="s">
        <v>32</v>
      </c>
      <c r="C34" s="180"/>
      <c r="D34" s="180"/>
      <c r="E34" s="191"/>
      <c r="F34" s="177"/>
      <c r="G34" s="177"/>
      <c r="H34" s="171"/>
      <c r="I34" s="171"/>
      <c r="J34" s="171"/>
      <c r="K34" s="171"/>
      <c r="L34" s="171"/>
      <c r="M34" s="171"/>
      <c r="N34" s="171"/>
      <c r="O34" s="171"/>
      <c r="P34" s="171"/>
      <c r="Q34" s="171"/>
      <c r="R34" s="171"/>
      <c r="S34" s="171"/>
    </row>
    <row r="35" spans="1:19" x14ac:dyDescent="0.2">
      <c r="A35" s="171"/>
      <c r="B35" s="180" t="s">
        <v>37</v>
      </c>
      <c r="C35" s="180"/>
      <c r="D35" s="180"/>
      <c r="E35" s="183">
        <f>MAX('     2-DL     '!F8:F33)</f>
        <v>0</v>
      </c>
      <c r="F35" s="177"/>
      <c r="G35" s="177"/>
      <c r="H35" s="171"/>
      <c r="I35" s="171"/>
      <c r="J35" s="171"/>
      <c r="K35" s="171"/>
      <c r="L35" s="171"/>
      <c r="M35" s="171"/>
      <c r="N35" s="171"/>
      <c r="O35" s="171"/>
      <c r="P35" s="171"/>
      <c r="Q35" s="171"/>
      <c r="R35" s="171"/>
      <c r="S35" s="171"/>
    </row>
    <row r="36" spans="1:19" x14ac:dyDescent="0.2">
      <c r="A36" s="171"/>
      <c r="B36" s="180" t="s">
        <v>45</v>
      </c>
      <c r="C36" s="180"/>
      <c r="D36" s="180"/>
      <c r="E36" s="183" t="e">
        <f>(1+ROUNDDOWN((LongueurLigne/Espacement_Véhicules),0))*2</f>
        <v>#DIV/0!</v>
      </c>
      <c r="F36" s="177"/>
      <c r="G36" s="177"/>
      <c r="H36" s="171"/>
      <c r="I36" s="171"/>
      <c r="J36" s="171"/>
      <c r="K36" s="171"/>
      <c r="L36" s="171"/>
      <c r="M36" s="171"/>
      <c r="N36" s="171"/>
      <c r="O36" s="171"/>
      <c r="P36" s="171"/>
      <c r="Q36" s="171"/>
      <c r="R36" s="171"/>
      <c r="S36" s="171"/>
    </row>
    <row r="37" spans="1:19" x14ac:dyDescent="0.2">
      <c r="A37" s="171"/>
      <c r="B37" s="171"/>
      <c r="C37" s="176"/>
      <c r="D37" s="177"/>
      <c r="E37" s="177"/>
      <c r="F37" s="177"/>
      <c r="G37" s="177"/>
      <c r="H37" s="177"/>
      <c r="I37" s="177"/>
      <c r="J37" s="171"/>
      <c r="K37" s="171"/>
      <c r="L37" s="171"/>
      <c r="M37" s="171"/>
      <c r="N37" s="171"/>
      <c r="O37" s="171"/>
      <c r="P37" s="171"/>
      <c r="Q37" s="171"/>
      <c r="R37" s="171"/>
      <c r="S37" s="171"/>
    </row>
    <row r="38" spans="1:19" x14ac:dyDescent="0.2">
      <c r="A38" s="180"/>
      <c r="B38" s="180"/>
      <c r="C38" s="180"/>
      <c r="D38" s="161" t="s">
        <v>59</v>
      </c>
      <c r="E38" s="192" t="str">
        <f>IF(COUNTIF(E39:E43,'C-L'!CG1)=5,IF('     1-DG     '!J2=0,0,'C-L'!CK1&amp;" "&amp;'C-L'!CL1),'C-L'!CK1&amp;" "&amp;'C-L'!CJ1)</f>
        <v>ATTENTION: Incomplete, excessive or wrong entry</v>
      </c>
      <c r="F38" s="177"/>
      <c r="G38" s="177"/>
      <c r="H38" s="171"/>
      <c r="I38" s="171"/>
      <c r="J38" s="171"/>
      <c r="K38" s="171"/>
      <c r="L38" s="171"/>
      <c r="M38" s="171"/>
      <c r="N38" s="171"/>
      <c r="O38" s="171"/>
      <c r="P38" s="171"/>
      <c r="Q38" s="171"/>
      <c r="R38" s="171"/>
      <c r="S38" s="171"/>
    </row>
    <row r="39" spans="1:19" x14ac:dyDescent="0.2">
      <c r="A39" s="180"/>
      <c r="B39" s="180"/>
      <c r="C39" s="180"/>
      <c r="D39" s="161" t="str">
        <f>'C-L'!Z1</f>
        <v>Span inclined length</v>
      </c>
      <c r="E39" s="193" t="str">
        <f>'     2-DL     '!E7</f>
        <v>Wrong entry</v>
      </c>
      <c r="F39" s="177"/>
      <c r="G39" s="177"/>
      <c r="H39" s="171"/>
      <c r="I39" s="171"/>
      <c r="J39" s="171"/>
      <c r="K39" s="171"/>
      <c r="L39" s="171"/>
      <c r="M39" s="171"/>
      <c r="N39" s="171"/>
      <c r="O39" s="171"/>
      <c r="P39" s="171"/>
      <c r="Q39" s="171"/>
      <c r="R39" s="171"/>
      <c r="S39" s="171"/>
    </row>
    <row r="40" spans="1:19" x14ac:dyDescent="0.2">
      <c r="A40" s="180"/>
      <c r="B40" s="180"/>
      <c r="C40" s="180"/>
      <c r="D40" s="161" t="str">
        <f>'C-L'!AC1</f>
        <v>Length of the section</v>
      </c>
      <c r="E40" s="193" t="str">
        <f>'     2-DL     '!F7</f>
        <v>Wrong entry</v>
      </c>
      <c r="F40" s="177"/>
      <c r="G40" s="177"/>
      <c r="H40" s="171"/>
      <c r="I40" s="171"/>
      <c r="J40" s="171"/>
      <c r="K40" s="171"/>
      <c r="L40" s="171"/>
      <c r="M40" s="171"/>
      <c r="N40" s="171"/>
      <c r="O40" s="171"/>
      <c r="P40" s="171"/>
      <c r="Q40" s="171"/>
      <c r="R40" s="171"/>
      <c r="S40" s="171"/>
    </row>
    <row r="41" spans="1:19" x14ac:dyDescent="0.2">
      <c r="A41" s="180"/>
      <c r="B41" s="180"/>
      <c r="C41" s="180"/>
      <c r="D41" s="161" t="str">
        <f>'C-L'!AD1</f>
        <v>Access time to the tower and to arrive to the first vehicle</v>
      </c>
      <c r="E41" s="193" t="str">
        <f>'     2-DL     '!H7</f>
        <v>Wrong entry</v>
      </c>
      <c r="F41" s="177"/>
      <c r="G41" s="177"/>
      <c r="H41" s="177"/>
      <c r="I41" s="177"/>
      <c r="J41" s="171"/>
      <c r="K41" s="171"/>
      <c r="L41" s="171"/>
      <c r="M41" s="171"/>
      <c r="N41" s="171"/>
      <c r="O41" s="171"/>
      <c r="P41" s="171"/>
      <c r="Q41" s="171"/>
      <c r="R41" s="171"/>
      <c r="S41" s="171"/>
    </row>
    <row r="42" spans="1:19" x14ac:dyDescent="0.2">
      <c r="A42" s="180"/>
      <c r="B42" s="180"/>
      <c r="C42" s="180"/>
      <c r="D42" s="161" t="str">
        <f>'C-L'!AE1</f>
        <v>Average time to evacuate a full vehicle and to go to the next one</v>
      </c>
      <c r="E42" s="193" t="str">
        <f>'     2-DL     '!J7</f>
        <v>Wrong entry</v>
      </c>
      <c r="F42" s="177"/>
      <c r="G42" s="177"/>
      <c r="H42" s="171"/>
      <c r="I42" s="171"/>
      <c r="J42" s="171"/>
      <c r="K42" s="171"/>
      <c r="L42" s="171"/>
      <c r="M42" s="171"/>
      <c r="N42" s="171"/>
      <c r="O42" s="171"/>
      <c r="P42" s="171"/>
      <c r="Q42" s="171"/>
      <c r="R42" s="171"/>
      <c r="S42" s="171"/>
    </row>
    <row r="43" spans="1:19" x14ac:dyDescent="0.2">
      <c r="A43" s="180"/>
      <c r="B43" s="180"/>
      <c r="C43" s="180"/>
      <c r="D43" s="161" t="str">
        <f>'C-L'!AF1</f>
        <v>Time to cross a tower between two vehicles of the same section</v>
      </c>
      <c r="E43" s="193" t="str">
        <f>'     2-DL     '!L7</f>
        <v>Wrong entry</v>
      </c>
      <c r="F43" s="177"/>
      <c r="G43" s="177"/>
      <c r="H43" s="171"/>
      <c r="I43" s="171"/>
      <c r="J43" s="171"/>
      <c r="K43" s="171"/>
      <c r="L43" s="171"/>
      <c r="M43" s="171"/>
      <c r="N43" s="171"/>
      <c r="O43" s="171"/>
      <c r="P43" s="171"/>
      <c r="Q43" s="171"/>
      <c r="R43" s="171"/>
      <c r="S43" s="171"/>
    </row>
    <row r="44" spans="1:19" x14ac:dyDescent="0.2">
      <c r="A44" s="180"/>
      <c r="B44" s="180"/>
      <c r="C44" s="180"/>
      <c r="D44" s="161" t="str">
        <f>'C-L'!CC1</f>
        <v>Your team allocation</v>
      </c>
      <c r="E44" s="193" t="str">
        <f>'     3-AE     '!G6</f>
        <v>Entry OK</v>
      </c>
      <c r="F44" s="177"/>
      <c r="G44" s="177"/>
      <c r="H44" s="171"/>
      <c r="I44" s="171"/>
      <c r="J44" s="171"/>
      <c r="K44" s="171"/>
      <c r="L44" s="171"/>
      <c r="M44" s="171"/>
      <c r="N44" s="171"/>
      <c r="O44" s="171"/>
      <c r="P44" s="171"/>
      <c r="Q44" s="171"/>
      <c r="R44" s="171"/>
      <c r="S44" s="171"/>
    </row>
    <row r="45" spans="1:19" x14ac:dyDescent="0.2">
      <c r="A45" s="180"/>
      <c r="B45" s="180"/>
      <c r="C45" s="180"/>
      <c r="D45" s="161" t="str">
        <f>'C-L'!CC1</f>
        <v>Your team allocation</v>
      </c>
      <c r="E45" s="193" t="str">
        <f>'     3-AE     '!J6</f>
        <v>Entry OK</v>
      </c>
      <c r="F45" s="177"/>
      <c r="G45" s="177"/>
      <c r="H45" s="171"/>
      <c r="I45" s="171"/>
      <c r="J45" s="171"/>
      <c r="K45" s="171"/>
      <c r="L45" s="171"/>
      <c r="M45" s="171"/>
      <c r="N45" s="171"/>
      <c r="O45" s="171"/>
      <c r="P45" s="171"/>
      <c r="Q45" s="171"/>
      <c r="R45" s="171"/>
      <c r="S45" s="171"/>
    </row>
    <row r="46" spans="1:19" x14ac:dyDescent="0.2">
      <c r="A46" s="28"/>
      <c r="B46" s="28"/>
      <c r="C46" s="28"/>
      <c r="D46" s="25" t="s">
        <v>59</v>
      </c>
      <c r="E46" s="61" t="str">
        <f>IF(COUNTIF(E44:E45,'C-L'!CI1)&gt;0,'C-L'!CI1,IF('     2-DL     '!F2&lt;&gt;0,'C-L'!CK1&amp; " "&amp;'C-L'!CM1,0))</f>
        <v>ATTENTION: Incomplete data in 1-DG or 2_DL sheet</v>
      </c>
    </row>
    <row r="47" spans="1:19" x14ac:dyDescent="0.2">
      <c r="C47" s="9"/>
    </row>
    <row r="51" ht="29.25" customHeight="1" x14ac:dyDescent="0.2"/>
    <row r="52" ht="29.25" customHeight="1" x14ac:dyDescent="0.2"/>
    <row r="53" ht="29.25" customHeight="1" x14ac:dyDescent="0.2"/>
    <row r="54" ht="29.25" customHeight="1" x14ac:dyDescent="0.2"/>
    <row r="55" ht="29.25" customHeight="1" x14ac:dyDescent="0.2"/>
    <row r="56" ht="29.25" customHeight="1" x14ac:dyDescent="0.2"/>
  </sheetData>
  <sheetProtection selectLockedCells="1"/>
  <dataConsolidate/>
  <mergeCells count="1">
    <mergeCell ref="A23:A31"/>
  </mergeCells>
  <phoneticPr fontId="5" type="noConversion"/>
  <conditionalFormatting sqref="J31 J28">
    <cfRule type="cellIs" dxfId="22" priority="4" stopIfTrue="1" operator="equal">
      <formula>$A$11</formula>
    </cfRule>
    <cfRule type="cellIs" dxfId="21" priority="5" stopIfTrue="1" operator="lessThan">
      <formula>0</formula>
    </cfRule>
    <cfRule type="cellIs" dxfId="20" priority="6" stopIfTrue="1" operator="greaterThan">
      <formula>0</formula>
    </cfRule>
  </conditionalFormatting>
  <pageMargins left="0.75" right="0.75" top="1" bottom="1" header="0.4921259845" footer="0.4921259845"/>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dimension ref="A1:FR33"/>
  <sheetViews>
    <sheetView showGridLines="0" showZeros="0" topLeftCell="DM4" workbookViewId="0">
      <selection activeCell="DO18" sqref="DO18"/>
    </sheetView>
  </sheetViews>
  <sheetFormatPr baseColWidth="10" defaultColWidth="10.85546875" defaultRowHeight="12.75" x14ac:dyDescent="0.2"/>
  <cols>
    <col min="1" max="1" width="7.42578125" style="9" bestFit="1" customWidth="1"/>
    <col min="2" max="2" width="7.7109375" style="24" bestFit="1" customWidth="1"/>
    <col min="3" max="3" width="7.85546875" style="9" customWidth="1"/>
    <col min="4" max="4" width="1.42578125" style="9" customWidth="1"/>
    <col min="5" max="8" width="10.140625" style="9" customWidth="1"/>
    <col min="9" max="9" width="1.42578125" style="9" customWidth="1"/>
    <col min="10" max="35" width="7.140625" style="353" customWidth="1"/>
    <col min="36" max="61" width="7.140625" style="360" customWidth="1"/>
    <col min="62" max="63" width="3.140625" style="253" customWidth="1"/>
    <col min="64" max="81" width="3.140625" style="253" bestFit="1" customWidth="1"/>
    <col min="82" max="82" width="3.140625" style="253" customWidth="1"/>
    <col min="83" max="87" width="3.140625" style="253" bestFit="1" customWidth="1"/>
    <col min="88" max="88" width="3.85546875" style="253" customWidth="1"/>
    <col min="89" max="90" width="8.42578125" style="9" customWidth="1"/>
    <col min="91" max="91" width="3.85546875" style="9" customWidth="1"/>
    <col min="92" max="92" width="1.7109375" style="9" customWidth="1"/>
    <col min="93" max="144" width="7.140625" style="9" customWidth="1"/>
    <col min="145" max="170" width="3.140625" style="253" bestFit="1" customWidth="1"/>
    <col min="171" max="171" width="3.85546875" style="253" customWidth="1"/>
    <col min="172" max="173" width="8.42578125" style="9" customWidth="1"/>
    <col min="174" max="174" width="3.85546875" style="9" customWidth="1"/>
    <col min="175" max="16384" width="10.85546875" style="9"/>
  </cols>
  <sheetData>
    <row r="1" spans="1:174" s="21" customFormat="1" ht="23.1" customHeight="1" x14ac:dyDescent="0.2">
      <c r="A1" s="462" t="s">
        <v>83</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N1" s="462"/>
      <c r="AO1" s="462"/>
      <c r="AP1" s="462"/>
      <c r="AQ1" s="462"/>
      <c r="AR1" s="462"/>
      <c r="AS1" s="462"/>
      <c r="AT1" s="462"/>
      <c r="AU1" s="462"/>
      <c r="AV1" s="462"/>
      <c r="AW1" s="462"/>
      <c r="AX1" s="462"/>
      <c r="AY1" s="462"/>
      <c r="AZ1" s="462"/>
      <c r="BA1" s="462"/>
      <c r="BB1" s="462"/>
      <c r="BC1" s="462"/>
      <c r="BD1" s="462"/>
      <c r="BE1" s="462"/>
      <c r="BF1" s="462"/>
      <c r="BG1" s="462"/>
      <c r="BH1" s="462"/>
      <c r="BI1" s="462"/>
      <c r="BJ1" s="462"/>
      <c r="BK1" s="462"/>
      <c r="BL1" s="462"/>
      <c r="BM1" s="462"/>
      <c r="BN1" s="462"/>
      <c r="BO1" s="462"/>
      <c r="BP1" s="462"/>
      <c r="BQ1" s="462"/>
      <c r="BR1" s="462"/>
      <c r="BS1" s="462"/>
      <c r="BT1" s="462"/>
      <c r="BU1" s="462"/>
      <c r="BV1" s="462"/>
      <c r="BW1" s="462"/>
      <c r="BX1" s="462"/>
      <c r="BY1" s="462"/>
      <c r="BZ1" s="462"/>
      <c r="CA1" s="462"/>
      <c r="CB1" s="462"/>
      <c r="CC1" s="462"/>
      <c r="CD1" s="462"/>
      <c r="CE1" s="462"/>
      <c r="CF1" s="462"/>
      <c r="CG1" s="462"/>
      <c r="CH1" s="462"/>
      <c r="CI1" s="462"/>
      <c r="CJ1" s="462"/>
      <c r="CK1" s="462"/>
      <c r="CL1" s="462"/>
      <c r="CM1" s="462"/>
      <c r="CN1" s="462"/>
      <c r="CO1" s="462"/>
      <c r="CP1" s="462"/>
      <c r="CQ1" s="462"/>
      <c r="CR1" s="462"/>
      <c r="CS1" s="462"/>
      <c r="CT1" s="462"/>
      <c r="CU1" s="462"/>
      <c r="CV1" s="462"/>
      <c r="CW1" s="462"/>
      <c r="CX1" s="462"/>
      <c r="CY1" s="462"/>
      <c r="CZ1" s="462"/>
      <c r="DA1" s="462"/>
      <c r="DB1" s="462"/>
      <c r="DC1" s="462"/>
      <c r="DD1" s="462"/>
      <c r="DE1" s="462"/>
      <c r="DF1" s="462"/>
      <c r="DG1" s="462"/>
      <c r="DH1" s="462"/>
      <c r="DI1" s="462"/>
      <c r="DJ1" s="462"/>
      <c r="DK1" s="462"/>
      <c r="DL1" s="462"/>
      <c r="DM1" s="462"/>
      <c r="DN1" s="462"/>
      <c r="DO1" s="462"/>
      <c r="DP1" s="462"/>
      <c r="DQ1" s="462"/>
      <c r="DR1" s="462"/>
      <c r="DS1" s="462"/>
      <c r="DT1" s="462"/>
      <c r="DU1" s="462"/>
      <c r="DV1" s="462"/>
      <c r="DW1" s="462"/>
      <c r="DX1" s="462"/>
      <c r="DY1" s="462"/>
      <c r="DZ1" s="462"/>
      <c r="EA1" s="462"/>
      <c r="EB1" s="462"/>
      <c r="EC1" s="462"/>
      <c r="ED1" s="462"/>
      <c r="EE1" s="462"/>
      <c r="EF1" s="462"/>
      <c r="EG1" s="462"/>
      <c r="EH1" s="462"/>
      <c r="EI1" s="462"/>
      <c r="EJ1" s="462"/>
      <c r="EK1" s="462"/>
      <c r="EL1" s="462"/>
      <c r="EM1" s="462"/>
      <c r="EN1" s="462"/>
      <c r="EO1" s="462"/>
      <c r="EP1" s="462"/>
      <c r="EQ1" s="462"/>
      <c r="ER1" s="462"/>
      <c r="ES1" s="462"/>
      <c r="ET1" s="462"/>
      <c r="EU1" s="462"/>
      <c r="EV1" s="462"/>
      <c r="EW1" s="462"/>
      <c r="EX1" s="462"/>
      <c r="EY1" s="462"/>
      <c r="EZ1" s="462"/>
      <c r="FA1" s="462"/>
      <c r="FB1" s="462"/>
      <c r="FC1" s="462"/>
      <c r="FD1" s="462"/>
      <c r="FE1" s="462"/>
      <c r="FF1" s="462"/>
      <c r="FG1" s="462"/>
      <c r="FH1" s="462"/>
      <c r="FI1" s="462"/>
      <c r="FJ1" s="462"/>
      <c r="FK1" s="462"/>
      <c r="FL1" s="462"/>
      <c r="FM1" s="462"/>
      <c r="FN1" s="462"/>
      <c r="FO1" s="462"/>
      <c r="FP1" s="462"/>
      <c r="FQ1" s="462"/>
      <c r="FR1" s="462"/>
    </row>
    <row r="2" spans="1:174" s="336" customFormat="1" ht="23.1" customHeight="1" x14ac:dyDescent="0.2">
      <c r="A2" s="459" t="s">
        <v>40</v>
      </c>
      <c r="B2" s="460"/>
      <c r="C2" s="461"/>
      <c r="E2" s="459" t="s">
        <v>41</v>
      </c>
      <c r="F2" s="460"/>
      <c r="G2" s="460"/>
      <c r="H2" s="461"/>
      <c r="J2" s="459" t="s">
        <v>547</v>
      </c>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0"/>
      <c r="AX2" s="460"/>
      <c r="AY2" s="460"/>
      <c r="AZ2" s="460"/>
      <c r="BA2" s="460"/>
      <c r="BB2" s="460"/>
      <c r="BC2" s="460"/>
      <c r="BD2" s="460"/>
      <c r="BE2" s="460"/>
      <c r="BF2" s="460"/>
      <c r="BG2" s="460"/>
      <c r="BH2" s="460"/>
      <c r="BI2" s="460"/>
      <c r="BJ2" s="460"/>
      <c r="BK2" s="460"/>
      <c r="BL2" s="460"/>
      <c r="BM2" s="460"/>
      <c r="BN2" s="460"/>
      <c r="BO2" s="460"/>
      <c r="BP2" s="460"/>
      <c r="BQ2" s="460"/>
      <c r="BR2" s="460"/>
      <c r="BS2" s="460"/>
      <c r="BT2" s="460"/>
      <c r="BU2" s="460"/>
      <c r="BV2" s="460"/>
      <c r="BW2" s="460"/>
      <c r="BX2" s="460"/>
      <c r="BY2" s="460"/>
      <c r="BZ2" s="460"/>
      <c r="CA2" s="460"/>
      <c r="CB2" s="460"/>
      <c r="CC2" s="460"/>
      <c r="CD2" s="460"/>
      <c r="CE2" s="460"/>
      <c r="CF2" s="460"/>
      <c r="CG2" s="460"/>
      <c r="CH2" s="460"/>
      <c r="CI2" s="460"/>
      <c r="CJ2" s="460"/>
      <c r="CK2" s="460"/>
      <c r="CL2" s="460"/>
      <c r="CM2" s="461"/>
      <c r="CO2" s="459" t="s">
        <v>548</v>
      </c>
      <c r="CP2" s="460"/>
      <c r="CQ2" s="460"/>
      <c r="CR2" s="460"/>
      <c r="CS2" s="460"/>
      <c r="CT2" s="460"/>
      <c r="CU2" s="460"/>
      <c r="CV2" s="460"/>
      <c r="CW2" s="460"/>
      <c r="CX2" s="460"/>
      <c r="CY2" s="460"/>
      <c r="CZ2" s="460"/>
      <c r="DA2" s="460"/>
      <c r="DB2" s="460"/>
      <c r="DC2" s="460"/>
      <c r="DD2" s="460"/>
      <c r="DE2" s="460"/>
      <c r="DF2" s="460"/>
      <c r="DG2" s="460"/>
      <c r="DH2" s="460"/>
      <c r="DI2" s="460"/>
      <c r="DJ2" s="460"/>
      <c r="DK2" s="460"/>
      <c r="DL2" s="460"/>
      <c r="DM2" s="460"/>
      <c r="DN2" s="460"/>
      <c r="DO2" s="460"/>
      <c r="DP2" s="460"/>
      <c r="DQ2" s="460"/>
      <c r="DR2" s="460"/>
      <c r="DS2" s="460"/>
      <c r="DT2" s="460"/>
      <c r="DU2" s="460"/>
      <c r="DV2" s="460"/>
      <c r="DW2" s="460"/>
      <c r="DX2" s="460"/>
      <c r="DY2" s="460"/>
      <c r="DZ2" s="460"/>
      <c r="EA2" s="460"/>
      <c r="EB2" s="460"/>
      <c r="EC2" s="460"/>
      <c r="ED2" s="460"/>
      <c r="EE2" s="460"/>
      <c r="EF2" s="460"/>
      <c r="EG2" s="460"/>
      <c r="EH2" s="460"/>
      <c r="EI2" s="460"/>
      <c r="EJ2" s="460"/>
      <c r="EK2" s="460"/>
      <c r="EL2" s="460"/>
      <c r="EM2" s="460"/>
      <c r="EN2" s="460"/>
      <c r="EO2" s="460"/>
      <c r="EP2" s="460"/>
      <c r="EQ2" s="460"/>
      <c r="ER2" s="460"/>
      <c r="ES2" s="460"/>
      <c r="ET2" s="460"/>
      <c r="EU2" s="460"/>
      <c r="EV2" s="460"/>
      <c r="EW2" s="460"/>
      <c r="EX2" s="460"/>
      <c r="EY2" s="460"/>
      <c r="EZ2" s="460"/>
      <c r="FA2" s="460"/>
      <c r="FB2" s="460"/>
      <c r="FC2" s="460"/>
      <c r="FD2" s="460"/>
      <c r="FE2" s="460"/>
      <c r="FF2" s="460"/>
      <c r="FG2" s="460"/>
      <c r="FH2" s="460"/>
      <c r="FI2" s="460"/>
      <c r="FJ2" s="460"/>
      <c r="FK2" s="460"/>
      <c r="FL2" s="460"/>
      <c r="FM2" s="460"/>
      <c r="FN2" s="460"/>
      <c r="FO2" s="460"/>
      <c r="FP2" s="460"/>
      <c r="FQ2" s="460"/>
      <c r="FR2" s="461"/>
    </row>
    <row r="3" spans="1:174" s="24" customFormat="1" ht="60" customHeight="1" x14ac:dyDescent="0.2">
      <c r="A3" s="228" t="str">
        <f>'C-L'!U1</f>
        <v>Number of the tower at the start of the span</v>
      </c>
      <c r="B3" s="228" t="str">
        <f>'C-L'!W1</f>
        <v>Number of the span</v>
      </c>
      <c r="C3" s="228" t="str">
        <f>'C-L'!Z1</f>
        <v>Span inclined length</v>
      </c>
      <c r="D3" s="326"/>
      <c r="E3" s="228" t="str">
        <f>'     2-DL     '!F4</f>
        <v>T1
Access time to the tower and to arrive to the first vehicle</v>
      </c>
      <c r="F3" s="228" t="str">
        <f>'     2-DL     '!H4</f>
        <v>T2
Average time to evacuate a full vehicle and to go to the next one</v>
      </c>
      <c r="G3" s="228" t="str">
        <f>'     2-DL     '!J4</f>
        <v>T3
Time to cross a tower between two vehicles of the same section</v>
      </c>
      <c r="H3" s="228" t="str">
        <f>'     2-DL     '!L4</f>
        <v>T4
Maximum time to bring back the last passenger to a safe place</v>
      </c>
      <c r="I3" s="326"/>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31" t="s">
        <v>541</v>
      </c>
      <c r="CK3" s="228" t="s">
        <v>543</v>
      </c>
      <c r="CL3" s="228" t="s">
        <v>540</v>
      </c>
      <c r="CM3" s="333" t="s">
        <v>542</v>
      </c>
      <c r="CN3" s="66"/>
      <c r="CO3" s="228"/>
      <c r="CP3" s="228"/>
      <c r="CQ3" s="228"/>
      <c r="CR3" s="228"/>
      <c r="CS3" s="228"/>
      <c r="CT3" s="228"/>
      <c r="CU3" s="228"/>
      <c r="CV3" s="228"/>
      <c r="CW3" s="228"/>
      <c r="CX3" s="228"/>
      <c r="CY3" s="228"/>
      <c r="CZ3" s="228"/>
      <c r="DA3" s="228"/>
      <c r="DB3" s="228"/>
      <c r="DC3" s="228"/>
      <c r="DD3" s="228"/>
      <c r="DE3" s="228"/>
      <c r="DF3" s="228"/>
      <c r="DG3" s="228"/>
      <c r="DH3" s="228"/>
      <c r="DI3" s="228"/>
      <c r="DJ3" s="228"/>
      <c r="DK3" s="228"/>
      <c r="DL3" s="228"/>
      <c r="DM3" s="228"/>
      <c r="DN3" s="228"/>
      <c r="DO3" s="228"/>
      <c r="DP3" s="228"/>
      <c r="DQ3" s="228"/>
      <c r="DR3" s="228"/>
      <c r="DS3" s="228"/>
      <c r="DT3" s="228"/>
      <c r="DU3" s="228"/>
      <c r="DV3" s="228"/>
      <c r="DW3" s="228"/>
      <c r="DX3" s="228"/>
      <c r="DY3" s="228"/>
      <c r="DZ3" s="228"/>
      <c r="EA3" s="228"/>
      <c r="EB3" s="228"/>
      <c r="EC3" s="228"/>
      <c r="ED3" s="228"/>
      <c r="EE3" s="228"/>
      <c r="EF3" s="228"/>
      <c r="EG3" s="228"/>
      <c r="EH3" s="228"/>
      <c r="EI3" s="228"/>
      <c r="EJ3" s="228"/>
      <c r="EK3" s="228"/>
      <c r="EL3" s="228"/>
      <c r="EM3" s="228"/>
      <c r="EN3" s="228"/>
      <c r="EO3" s="328"/>
      <c r="EP3" s="328"/>
      <c r="EQ3" s="328"/>
      <c r="ER3" s="328"/>
      <c r="ES3" s="328"/>
      <c r="ET3" s="328"/>
      <c r="EU3" s="328"/>
      <c r="EV3" s="328"/>
      <c r="EW3" s="328"/>
      <c r="EX3" s="328"/>
      <c r="EY3" s="328"/>
      <c r="EZ3" s="328"/>
      <c r="FA3" s="328"/>
      <c r="FB3" s="328"/>
      <c r="FC3" s="328"/>
      <c r="FD3" s="328"/>
      <c r="FE3" s="328"/>
      <c r="FF3" s="328"/>
      <c r="FG3" s="328"/>
      <c r="FH3" s="328"/>
      <c r="FI3" s="328"/>
      <c r="FJ3" s="328"/>
      <c r="FK3" s="328"/>
      <c r="FL3" s="328"/>
      <c r="FM3" s="328"/>
      <c r="FN3" s="328"/>
      <c r="FO3" s="331" t="s">
        <v>541</v>
      </c>
      <c r="FP3" s="228" t="s">
        <v>543</v>
      </c>
      <c r="FQ3" s="228" t="s">
        <v>540</v>
      </c>
      <c r="FR3" s="333" t="s">
        <v>542</v>
      </c>
    </row>
    <row r="4" spans="1:174" s="24" customFormat="1" ht="24.75" customHeight="1" x14ac:dyDescent="0.2">
      <c r="A4" s="228"/>
      <c r="B4" s="228"/>
      <c r="C4" s="228" t="s">
        <v>370</v>
      </c>
      <c r="D4" s="326"/>
      <c r="E4" s="228" t="s">
        <v>302</v>
      </c>
      <c r="F4" s="228" t="s">
        <v>378</v>
      </c>
      <c r="G4" s="200" t="s">
        <v>58</v>
      </c>
      <c r="H4" s="200" t="s">
        <v>57</v>
      </c>
      <c r="I4" s="326"/>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28"/>
      <c r="BK4" s="328"/>
      <c r="BL4" s="328"/>
      <c r="BM4" s="328"/>
      <c r="BN4" s="328"/>
      <c r="BO4" s="328"/>
      <c r="BP4" s="328"/>
      <c r="BQ4" s="328"/>
      <c r="BR4" s="328"/>
      <c r="BS4" s="328"/>
      <c r="BT4" s="328"/>
      <c r="BU4" s="328"/>
      <c r="BV4" s="328"/>
      <c r="BW4" s="328"/>
      <c r="BX4" s="328"/>
      <c r="BY4" s="328"/>
      <c r="BZ4" s="328"/>
      <c r="CA4" s="328"/>
      <c r="CB4" s="328"/>
      <c r="CC4" s="328"/>
      <c r="CD4" s="328"/>
      <c r="CE4" s="328"/>
      <c r="CF4" s="328"/>
      <c r="CG4" s="328"/>
      <c r="CH4" s="328"/>
      <c r="CI4" s="328"/>
      <c r="CJ4" s="328"/>
      <c r="CK4" s="327"/>
      <c r="CL4" s="327"/>
      <c r="CM4" s="327"/>
      <c r="CN4" s="66"/>
      <c r="CO4" s="327"/>
      <c r="CP4" s="327"/>
      <c r="CQ4" s="327"/>
      <c r="CR4" s="327"/>
      <c r="CS4" s="327"/>
      <c r="CT4" s="327"/>
      <c r="CU4" s="327"/>
      <c r="CV4" s="327"/>
      <c r="CW4" s="327"/>
      <c r="CX4" s="327"/>
      <c r="CY4" s="327"/>
      <c r="CZ4" s="327"/>
      <c r="DA4" s="327"/>
      <c r="DB4" s="327"/>
      <c r="DC4" s="327"/>
      <c r="DD4" s="327"/>
      <c r="DE4" s="327"/>
      <c r="DF4" s="327"/>
      <c r="DG4" s="327"/>
      <c r="DH4" s="327"/>
      <c r="DI4" s="327"/>
      <c r="DJ4" s="327"/>
      <c r="DK4" s="327"/>
      <c r="DL4" s="327"/>
      <c r="DM4" s="327"/>
      <c r="DN4" s="327"/>
      <c r="DO4" s="327"/>
      <c r="DP4" s="327"/>
      <c r="DQ4" s="327"/>
      <c r="DR4" s="327"/>
      <c r="DS4" s="327"/>
      <c r="DT4" s="327"/>
      <c r="DU4" s="327"/>
      <c r="DV4" s="327"/>
      <c r="DW4" s="327"/>
      <c r="DX4" s="327"/>
      <c r="DY4" s="327"/>
      <c r="DZ4" s="327"/>
      <c r="EA4" s="327"/>
      <c r="EB4" s="327"/>
      <c r="EC4" s="327"/>
      <c r="ED4" s="327"/>
      <c r="EE4" s="327"/>
      <c r="EF4" s="327"/>
      <c r="EG4" s="327"/>
      <c r="EH4" s="327"/>
      <c r="EI4" s="327"/>
      <c r="EJ4" s="327"/>
      <c r="EK4" s="327"/>
      <c r="EL4" s="327"/>
      <c r="EM4" s="327"/>
      <c r="EN4" s="327"/>
      <c r="EO4" s="328"/>
      <c r="EP4" s="328"/>
      <c r="EQ4" s="328"/>
      <c r="ER4" s="328"/>
      <c r="ES4" s="328"/>
      <c r="ET4" s="328"/>
      <c r="EU4" s="328"/>
      <c r="EV4" s="328"/>
      <c r="EW4" s="328"/>
      <c r="EX4" s="328"/>
      <c r="EY4" s="328"/>
      <c r="EZ4" s="328"/>
      <c r="FA4" s="328"/>
      <c r="FB4" s="328"/>
      <c r="FC4" s="328"/>
      <c r="FD4" s="328"/>
      <c r="FE4" s="328"/>
      <c r="FF4" s="328"/>
      <c r="FG4" s="328"/>
      <c r="FH4" s="328"/>
      <c r="FI4" s="328"/>
      <c r="FJ4" s="328"/>
      <c r="FK4" s="328"/>
      <c r="FL4" s="328"/>
      <c r="FM4" s="328"/>
      <c r="FN4" s="328"/>
      <c r="FO4" s="328"/>
      <c r="FP4" s="327"/>
      <c r="FQ4" s="327"/>
      <c r="FR4" s="327"/>
    </row>
    <row r="5" spans="1:174" s="24" customFormat="1" ht="12.75" customHeight="1" x14ac:dyDescent="0.2">
      <c r="A5" s="67"/>
      <c r="B5" s="67"/>
      <c r="C5" s="68">
        <f>SUM(C6:C32)</f>
        <v>0</v>
      </c>
      <c r="D5" s="66"/>
      <c r="E5" s="69"/>
      <c r="F5" s="69"/>
      <c r="G5" s="69"/>
      <c r="H5" s="69"/>
      <c r="I5" s="66"/>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55"/>
      <c r="AK5" s="355"/>
      <c r="AL5" s="355"/>
      <c r="AM5" s="355"/>
      <c r="AN5" s="355"/>
      <c r="AO5" s="355"/>
      <c r="AP5" s="355"/>
      <c r="AQ5" s="355"/>
      <c r="AR5" s="355"/>
      <c r="AS5" s="355"/>
      <c r="AT5" s="355"/>
      <c r="AU5" s="355"/>
      <c r="AV5" s="355"/>
      <c r="AW5" s="355"/>
      <c r="AX5" s="355"/>
      <c r="AY5" s="355"/>
      <c r="AZ5" s="355"/>
      <c r="BA5" s="355"/>
      <c r="BB5" s="355"/>
      <c r="BC5" s="355"/>
      <c r="BD5" s="355"/>
      <c r="BE5" s="355"/>
      <c r="BF5" s="355"/>
      <c r="BG5" s="355"/>
      <c r="BH5" s="355"/>
      <c r="BI5" s="355"/>
      <c r="BJ5" s="329"/>
      <c r="BK5" s="329"/>
      <c r="BL5" s="329"/>
      <c r="BM5" s="329"/>
      <c r="BN5" s="329"/>
      <c r="BO5" s="329"/>
      <c r="BP5" s="329"/>
      <c r="BQ5" s="329"/>
      <c r="BR5" s="329"/>
      <c r="BS5" s="329"/>
      <c r="BT5" s="329"/>
      <c r="BU5" s="329"/>
      <c r="BV5" s="329"/>
      <c r="BW5" s="329"/>
      <c r="BX5" s="329"/>
      <c r="BY5" s="329"/>
      <c r="BZ5" s="329"/>
      <c r="CA5" s="329"/>
      <c r="CB5" s="329"/>
      <c r="CC5" s="329"/>
      <c r="CD5" s="329"/>
      <c r="CE5" s="329"/>
      <c r="CF5" s="329"/>
      <c r="CG5" s="329"/>
      <c r="CH5" s="329"/>
      <c r="CI5" s="329"/>
      <c r="CJ5" s="329"/>
      <c r="CK5" s="329"/>
      <c r="CL5" s="329"/>
      <c r="CM5" s="329"/>
      <c r="CN5" s="330"/>
      <c r="CO5" s="329"/>
      <c r="CP5" s="329"/>
      <c r="CQ5" s="329"/>
      <c r="CR5" s="329"/>
      <c r="CS5" s="329"/>
      <c r="CT5" s="329"/>
      <c r="CU5" s="329"/>
      <c r="CV5" s="329"/>
      <c r="CW5" s="329"/>
      <c r="CX5" s="329"/>
      <c r="CY5" s="329"/>
      <c r="CZ5" s="329"/>
      <c r="DA5" s="329"/>
      <c r="DB5" s="329"/>
      <c r="DC5" s="329"/>
      <c r="DD5" s="329"/>
      <c r="DE5" s="329"/>
      <c r="DF5" s="329"/>
      <c r="DG5" s="329"/>
      <c r="DH5" s="329"/>
      <c r="DI5" s="329"/>
      <c r="DJ5" s="329"/>
      <c r="DK5" s="329"/>
      <c r="DL5" s="329"/>
      <c r="DM5" s="329"/>
      <c r="DN5" s="329"/>
      <c r="DO5" s="329"/>
      <c r="DP5" s="329"/>
      <c r="DQ5" s="329"/>
      <c r="DR5" s="329"/>
      <c r="DS5" s="329"/>
      <c r="DT5" s="329"/>
      <c r="DU5" s="329"/>
      <c r="DV5" s="329"/>
      <c r="DW5" s="329"/>
      <c r="DX5" s="329"/>
      <c r="DY5" s="329"/>
      <c r="DZ5" s="329"/>
      <c r="EA5" s="329"/>
      <c r="EB5" s="329"/>
      <c r="EC5" s="329"/>
      <c r="ED5" s="329"/>
      <c r="EE5" s="329"/>
      <c r="EF5" s="329"/>
      <c r="EG5" s="329"/>
      <c r="EH5" s="329"/>
      <c r="EI5" s="329"/>
      <c r="EJ5" s="329"/>
      <c r="EK5" s="329"/>
      <c r="EL5" s="329"/>
      <c r="EM5" s="329"/>
      <c r="EN5" s="329"/>
      <c r="EO5" s="329"/>
      <c r="EP5" s="329"/>
      <c r="EQ5" s="329"/>
      <c r="ER5" s="329"/>
      <c r="ES5" s="329"/>
      <c r="ET5" s="329"/>
      <c r="EU5" s="329"/>
      <c r="EV5" s="329"/>
      <c r="EW5" s="329"/>
      <c r="EX5" s="329"/>
      <c r="EY5" s="329"/>
      <c r="EZ5" s="329"/>
      <c r="FA5" s="329"/>
      <c r="FB5" s="329"/>
      <c r="FC5" s="329"/>
      <c r="FD5" s="329"/>
      <c r="FE5" s="329"/>
      <c r="FF5" s="329"/>
      <c r="FG5" s="329"/>
      <c r="FH5" s="329"/>
      <c r="FI5" s="329"/>
      <c r="FJ5" s="329"/>
      <c r="FK5" s="329"/>
      <c r="FL5" s="329"/>
      <c r="FM5" s="329"/>
      <c r="FN5" s="329"/>
      <c r="FO5" s="329"/>
      <c r="FP5" s="329"/>
      <c r="FQ5" s="329"/>
      <c r="FR5" s="329"/>
    </row>
    <row r="6" spans="1:174" x14ac:dyDescent="0.2">
      <c r="A6" s="62" t="str">
        <f>'     2-DL     '!C8</f>
        <v>G2</v>
      </c>
      <c r="B6" s="65" t="str">
        <f>'     2-DL     '!D8</f>
        <v/>
      </c>
      <c r="C6" s="63">
        <f>IF(B6="",0,'     2-DL     '!E8)</f>
        <v>0</v>
      </c>
      <c r="D6" s="66"/>
      <c r="E6" s="4">
        <f>IF(C6=0,0,'     2-DL     '!F8)</f>
        <v>0</v>
      </c>
      <c r="F6" s="4">
        <f>IF(C6=0,0,IF(S_TempsEvacuationVehicule=1,A_TempsEvacuationVéhicule,'     2-DL     '!H8))</f>
        <v>0</v>
      </c>
      <c r="G6" s="4">
        <f>IF(C6=0,0,IF(S_TempsAccèsPortéeSuivante=1,A_TempsAccèsPortéeSuivante,'     2-DL     '!J8))</f>
        <v>0</v>
      </c>
      <c r="H6" s="4">
        <f>IF(C6=0,0,'     2-DL     '!L8)</f>
        <v>0</v>
      </c>
      <c r="I6" s="66"/>
      <c r="J6" s="236">
        <f>IF($C6=0,0,ROUNDDOWN($C6/Espacement_Véhicules+1,0))</f>
        <v>0</v>
      </c>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6">
        <f>IF($C6=0,0,IF($E6+$F6*J6*Remplissage_du_brin_montant/100+$G6+($F7-$F6)*J7*Remplissage_du_brin_montant/100+$H7&gt;=Durée_maximale_d_évacuation,$E6+$F6*J6*Remplissage_du_brin_montant/100+$H6,$E6+$F6*J6*Remplissage_du_brin_montant/100+$G6))</f>
        <v>0</v>
      </c>
      <c r="AK6" s="357"/>
      <c r="AL6" s="357"/>
      <c r="AM6" s="357"/>
      <c r="AN6" s="357"/>
      <c r="AO6" s="357"/>
      <c r="AP6" s="357"/>
      <c r="AQ6" s="357"/>
      <c r="AR6" s="357"/>
      <c r="AS6" s="357"/>
      <c r="AT6" s="357"/>
      <c r="AU6" s="357"/>
      <c r="AV6" s="357"/>
      <c r="AW6" s="357"/>
      <c r="AX6" s="357"/>
      <c r="AY6" s="357"/>
      <c r="AZ6" s="357"/>
      <c r="BA6" s="357"/>
      <c r="BB6" s="357"/>
      <c r="BC6" s="357"/>
      <c r="BD6" s="357"/>
      <c r="BE6" s="357"/>
      <c r="BF6" s="357"/>
      <c r="BG6" s="357"/>
      <c r="BH6" s="357"/>
      <c r="BI6" s="357"/>
      <c r="BJ6" s="224">
        <f>IF(J6=0,0,IF(OR(J6&lt;NMaxSiègeEquipe*(1+(100-Remplissage_du_brin_montant)*0.005)+1,AJ6&lt;Durée_maximale_d_évacuation),1,0))</f>
        <v>0</v>
      </c>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332">
        <f>IF(Remplissage_du_brin_montant=0,0,IF(CL6&lt;&gt;0,1,0))</f>
        <v>0</v>
      </c>
      <c r="CK6" s="236">
        <f>IF(Remplissage_du_brin_montant=0,0,IF(CM6=0,0,IF(BJ6=1,J6)))</f>
        <v>0</v>
      </c>
      <c r="CL6" s="238">
        <f>IF(Remplissage_du_brin_montant=0,0,IF(CM6=0,0,IF(BJ6=1,AJ6)))</f>
        <v>0</v>
      </c>
      <c r="CM6" s="224">
        <f>IF(Remplissage_du_brin_montant=0,0,IF($B6="",0,1))</f>
        <v>0</v>
      </c>
      <c r="CN6" s="17"/>
      <c r="CO6" s="236">
        <f>IF(C6=0,0,ROUNDDOWN(C6/Espacement_Véhicules+1,0))</f>
        <v>0</v>
      </c>
      <c r="CP6" s="350"/>
      <c r="CQ6" s="350"/>
      <c r="CR6" s="350"/>
      <c r="CS6" s="350"/>
      <c r="CT6" s="350"/>
      <c r="CU6" s="350"/>
      <c r="CV6" s="350"/>
      <c r="CW6" s="350"/>
      <c r="CX6" s="350"/>
      <c r="CY6" s="350"/>
      <c r="CZ6" s="350"/>
      <c r="DA6" s="350"/>
      <c r="DB6" s="350"/>
      <c r="DC6" s="350"/>
      <c r="DD6" s="350"/>
      <c r="DE6" s="350"/>
      <c r="DF6" s="350"/>
      <c r="DG6" s="350"/>
      <c r="DH6" s="350"/>
      <c r="DI6" s="350"/>
      <c r="DJ6" s="350"/>
      <c r="DK6" s="350"/>
      <c r="DL6" s="350"/>
      <c r="DM6" s="350"/>
      <c r="DN6" s="350"/>
      <c r="DO6" s="356">
        <f>IF($C6=0,0,IF($E6+$F6*CO6*Remplissage_du_brin_descendant/100+$G6+$F7*CO7*Remplissage_du_brin_descendant/100+$H7&gt;=Durée_maximale_d_évacuation,$E6+$F6*CO6*Remplissage_du_brin_descendant/100+$H6,$E6+$F6*CO6*Remplissage_du_brin_descendant/100+$G6))</f>
        <v>0</v>
      </c>
      <c r="DP6" s="357"/>
      <c r="DQ6" s="357"/>
      <c r="DR6" s="357"/>
      <c r="DS6" s="357"/>
      <c r="DT6" s="357"/>
      <c r="DU6" s="357"/>
      <c r="DV6" s="357"/>
      <c r="DW6" s="357"/>
      <c r="DX6" s="357"/>
      <c r="DY6" s="357"/>
      <c r="DZ6" s="357"/>
      <c r="EA6" s="357"/>
      <c r="EB6" s="357"/>
      <c r="EC6" s="357"/>
      <c r="ED6" s="357"/>
      <c r="EE6" s="357"/>
      <c r="EF6" s="357"/>
      <c r="EG6" s="357"/>
      <c r="EH6" s="357"/>
      <c r="EI6" s="357"/>
      <c r="EJ6" s="357"/>
      <c r="EK6" s="357"/>
      <c r="EL6" s="357"/>
      <c r="EM6" s="357"/>
      <c r="EN6" s="357"/>
      <c r="EO6" s="224">
        <f>IF(CO6=0,0,IF(OR(CO6&lt;NMaxSiègeEquipe*(1+(100-Remplissage_du_brin_descendant)*0.005)+1,DO6&lt;Durée_maximale_d_évacuation),1,0))</f>
        <v>0</v>
      </c>
      <c r="EP6" s="225"/>
      <c r="EQ6" s="225"/>
      <c r="ER6" s="225"/>
      <c r="ES6" s="225"/>
      <c r="ET6" s="225"/>
      <c r="EU6" s="225"/>
      <c r="EV6" s="225"/>
      <c r="EW6" s="225"/>
      <c r="EX6" s="225"/>
      <c r="EY6" s="225"/>
      <c r="EZ6" s="225"/>
      <c r="FA6" s="225"/>
      <c r="FB6" s="225"/>
      <c r="FC6" s="225"/>
      <c r="FD6" s="225"/>
      <c r="FE6" s="225"/>
      <c r="FF6" s="225"/>
      <c r="FG6" s="225"/>
      <c r="FH6" s="225"/>
      <c r="FI6" s="225"/>
      <c r="FJ6" s="225"/>
      <c r="FK6" s="225"/>
      <c r="FL6" s="225"/>
      <c r="FM6" s="225"/>
      <c r="FN6" s="225"/>
      <c r="FO6" s="332">
        <f>IF(Remplissage_du_brin_descendant=0,0,IF(FQ6&lt;&gt;0,MAX(CJ6:CJ31)+1,0))</f>
        <v>0</v>
      </c>
      <c r="FP6" s="236">
        <f>IF(Remplissage_du_brin_descendant=0,0,IF(FR6=0,0,IF(EO6=1,CO6)))</f>
        <v>0</v>
      </c>
      <c r="FQ6" s="238">
        <f>IF(Remplissage_du_brin_descendant=0,0,IF(FR6=0,0,IF(EO6=1,DO6)))</f>
        <v>0</v>
      </c>
      <c r="FR6" s="224">
        <f>IF(Remplissage_du_brin_descendant=0,0,IF($B6="",0,1))</f>
        <v>0</v>
      </c>
    </row>
    <row r="7" spans="1:174" x14ac:dyDescent="0.2">
      <c r="A7" s="62" t="str">
        <f>'     2-DL     '!C9</f>
        <v>G1</v>
      </c>
      <c r="B7" s="65" t="str">
        <f>'     2-DL     '!D9</f>
        <v/>
      </c>
      <c r="C7" s="63">
        <f>IF(B7="",0,'     2-DL     '!E9)</f>
        <v>0</v>
      </c>
      <c r="D7" s="66"/>
      <c r="E7" s="4">
        <f>IF(C7=0,0,'     2-DL     '!F9)</f>
        <v>0</v>
      </c>
      <c r="F7" s="4">
        <f>IF(C7=0,0,IF(S_TempsEvacuationVehicule=1,A_TempsEvacuationVéhicule,'     2-DL     '!H9))</f>
        <v>0</v>
      </c>
      <c r="G7" s="4">
        <f>IF(C7=0,0,IF(S_TempsAccèsPortéeSuivante=1,A_TempsAccèsPortéeSuivante,'     2-DL     '!J9))</f>
        <v>0</v>
      </c>
      <c r="H7" s="4">
        <f>IF(C7=0,0,'     2-DL     '!L9)</f>
        <v>0</v>
      </c>
      <c r="I7" s="66"/>
      <c r="J7" s="236">
        <f>IF($C7=0,0,IF(ROUNDDOWN(SUM($C$6:C7)/Espacement_Véhicules+1,0)&gt;NMaxSiègeEquipe*(1+(100-Remplissage_du_brin_montant)*0.005),NMaxSiègeEquipe*(1+(100-Remplissage_du_brin_montant)*0.005) +1,ROUNDDOWN(SUM($C$6:C7)/Espacement_Véhicules+1,0)))</f>
        <v>0</v>
      </c>
      <c r="K7" s="236">
        <f>IF($C7=0,0,ROUNDDOWN($C7/Espacement_Véhicules+1,0))</f>
        <v>0</v>
      </c>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6">
        <f t="shared" ref="AJ7:AJ31" si="0">IF($C7=0,0,IF(AJ6+$F7*(J7-J6)*Remplissage_du_brin_montant/100+$H7&gt;=Durée_maximale_d_évacuation,Durée_maximale_d_évacuation,IF(AJ6+$F7*(J7-J6)*Remplissage_du_brin_montant/100+$G7+$F8*(J8-J7)*Remplissage_du_brin_montant/100+$H8&gt;=Durée_maximale_d_évacuation,AJ6+$F7*(J7-J6)*Remplissage_du_brin_montant/100+$H7,AJ6+$F7*(J7-J6)*Remplissage_du_brin_montant/100+$G7)))</f>
        <v>0</v>
      </c>
      <c r="AK7" s="356">
        <f>IF($C7=0,0,IF($E7+$F7*K7*Remplissage_du_brin_montant/100+$G7+($F8-$F7)*K8*Remplissage_du_brin_montant/100+$H8&gt;=Durée_maximale_d_évacuation,$E7+$F7*K7*Remplissage_du_brin_montant/100+$H7,$E7+$F7*K7*Remplissage_du_brin_montant/100+$G7))</f>
        <v>0</v>
      </c>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224">
        <f t="shared" ref="BJ7:BJ31" si="1">IF(J7=0,0,IF(AND(J7&lt;NMaxSiègeEquipe*(1+(100-Remplissage_du_brin_montant)*0.005)+1,AJ7&lt;Durée_maximale_d_évacuation),1,0))</f>
        <v>0</v>
      </c>
      <c r="BK7" s="224">
        <f>IF(BJ7=1,0,IF(K7=0,0,IF(K7&lt;NMaxSiègeEquipe*(1+(100-Remplissage_du_brin_montant)*0.005)+1,IF(AK7&lt;Durée_maximale_d_évacuation,1,0),0)))</f>
        <v>0</v>
      </c>
      <c r="BL7" s="225"/>
      <c r="BM7" s="225"/>
      <c r="BN7" s="225"/>
      <c r="BO7" s="225"/>
      <c r="BP7" s="225"/>
      <c r="BQ7" s="225"/>
      <c r="BR7" s="225"/>
      <c r="BS7" s="225"/>
      <c r="BT7" s="225"/>
      <c r="BU7" s="225"/>
      <c r="BV7" s="225"/>
      <c r="BW7" s="225"/>
      <c r="BX7" s="225"/>
      <c r="BY7" s="225"/>
      <c r="BZ7" s="225"/>
      <c r="CA7" s="225"/>
      <c r="CB7" s="225"/>
      <c r="CC7" s="225"/>
      <c r="CD7" s="225"/>
      <c r="CE7" s="225"/>
      <c r="CF7" s="225"/>
      <c r="CG7" s="225"/>
      <c r="CH7" s="225"/>
      <c r="CI7" s="225"/>
      <c r="CJ7" s="332">
        <f t="shared" ref="CJ7:CJ31" si="2">IF(Remplissage_du_brin_montant=0,0,IF(CM7="",0,IF(CL7&lt;&gt;0,IF(CM7=CM6,CJ6,CJ6+1))))</f>
        <v>0</v>
      </c>
      <c r="CK7" s="236">
        <f t="shared" ref="CK7:CK31" si="3">IF(Remplissage_du_brin_montant=0,0,IF(CM7="","",+J7*BJ7+K7*BK7+L7*BL7+M7*BM7+N7*BN7+O7*BO7+P7*BP7+Q7*BQ7+R7*BR7+S7*BS7+T7*BT7+U7*BU7+V7*BV7+W7*BW7+X7*BX7+Y7*BY7+Z7*BZ7+AA7*CA7+AB7*CB7+AC7*CC7+AD7*CD7+AE7*CE7+AF7*CF7+AG7*CG7+AH7*CH7+AI7+CI7))</f>
        <v>0</v>
      </c>
      <c r="CL7" s="238">
        <f t="shared" ref="CL7:CL31" si="4">IF(Remplissage_du_brin_montant=0,0,IF(CM7="","",AJ7*BJ7+AK7*BK7+AL7*BL7+AM7*BM7+AN7*BN7+AO7*BO7+AP7*BP7+AQ7*BQ7+AR7*BR7+AS7*BS7+AT7*BT7+AU7*BU7+AV7*BV7+AW7*BW7+AX7*BX7+AY7*BY7+AZ7*BZ7+BA7*CA7+BB7*CB7+BC7*CC7+BD7*CD7+BE7*CE7+BF7*CF7+BG7*CG7+BH7*CH7+BI7*CI7))</f>
        <v>0</v>
      </c>
      <c r="CM7" s="224">
        <f>IF(Remplissage_du_brin_montant=0,0,IF(1&gt;NBPylône,"",IF(BJ7=1,CM6,CM6+1)))</f>
        <v>0</v>
      </c>
      <c r="CN7" s="17"/>
      <c r="CO7" s="236">
        <f>IF(C7=0,0,IF(ROUNDDOWN(SUM($C$6:C7)/Espacement_Véhicules+1,0)&gt;NMaxSiègeEquipe*(1+(100-Remplissage_du_brin_descendant)*0.005),NMaxSiègeEquipe*(1+(100-Remplissage_du_brin_descendant)*0.005) +1,ROUNDDOWN(SUM($C$6:C7)/Espacement_Véhicules+1,0)))</f>
        <v>0</v>
      </c>
      <c r="CP7" s="236">
        <f>IF($C7=0,0,ROUNDDOWN($C7/Espacement_Véhicules+1,0))</f>
        <v>0</v>
      </c>
      <c r="CQ7" s="350"/>
      <c r="CR7" s="350"/>
      <c r="CS7" s="350"/>
      <c r="CT7" s="350"/>
      <c r="CU7" s="350"/>
      <c r="CV7" s="350"/>
      <c r="CW7" s="350"/>
      <c r="CX7" s="350"/>
      <c r="CY7" s="350"/>
      <c r="CZ7" s="350"/>
      <c r="DA7" s="350"/>
      <c r="DB7" s="350"/>
      <c r="DC7" s="350"/>
      <c r="DD7" s="350"/>
      <c r="DE7" s="350"/>
      <c r="DF7" s="350"/>
      <c r="DG7" s="350"/>
      <c r="DH7" s="350"/>
      <c r="DI7" s="350"/>
      <c r="DJ7" s="350"/>
      <c r="DK7" s="350"/>
      <c r="DL7" s="350"/>
      <c r="DM7" s="350"/>
      <c r="DN7" s="350"/>
      <c r="DO7" s="356">
        <f t="shared" ref="DO7:DO31" si="5">IF($C7=0,0,IF(DO6+$F7*(CO7-CO6)*Remplissage_du_brin_descendant/100+$H7&gt;=Durée_maximale_d_évacuation,Durée_maximale_d_évacuation,IF(DO6+$F7*(CO7-CO6)*Remplissage_du_brin_descendant/100+$G7+$F8*(CO8-CO7)*Remplissage_du_brin_descendant/100+$H8&gt;=Durée_maximale_d_évacuation,DO6+$F7*(CO7-CO6)*Remplissage_du_brin_descendant/100+$H7,DO6+$F7*(CO7-CO6)*Remplissage_du_brin_descendant/100+$G7)))</f>
        <v>0</v>
      </c>
      <c r="DP7" s="356">
        <f>IF($C7=0,0,IF($E7+$F7*CP7*Remplissage_du_brin_descendant/100+$G7+($F8-$F7)*CP8*Remplissage_du_brin_descendant/100+$H8&gt;=Durée_maximale_d_évacuation,$E7+$F7*CP7*Remplissage_du_brin_descendant/100+$H7,$E7+$F7*CP7*Remplissage_du_brin_descendant/100+$G7))</f>
        <v>0</v>
      </c>
      <c r="DQ7" s="357"/>
      <c r="DR7" s="357"/>
      <c r="DS7" s="357"/>
      <c r="DT7" s="357"/>
      <c r="DU7" s="357"/>
      <c r="DV7" s="357"/>
      <c r="DW7" s="357"/>
      <c r="DX7" s="357"/>
      <c r="DY7" s="357"/>
      <c r="DZ7" s="357"/>
      <c r="EA7" s="357"/>
      <c r="EB7" s="357"/>
      <c r="EC7" s="357"/>
      <c r="ED7" s="357"/>
      <c r="EE7" s="357"/>
      <c r="EF7" s="357"/>
      <c r="EG7" s="357"/>
      <c r="EH7" s="357"/>
      <c r="EI7" s="357"/>
      <c r="EJ7" s="357"/>
      <c r="EK7" s="357"/>
      <c r="EL7" s="357"/>
      <c r="EM7" s="357"/>
      <c r="EN7" s="357"/>
      <c r="EO7" s="224">
        <f t="shared" ref="EO7:EO31" si="6">IF(CO7=0,0,IF(AND(CO7&lt;NMaxSiègeEquipe*(1+(100-Remplissage_du_brin_descendant)*0.005)+1,DO7&lt;Durée_maximale_d_évacuation),1,0))</f>
        <v>0</v>
      </c>
      <c r="EP7" s="224">
        <f>IF(EO7=1,0,IF(CP7=0,0,IF(CP7&lt;NMaxSiègeEquipe*(1+(100-Remplissage_du_brin_descendant)*0.005)+1,IF(DP7&lt;Durée_maximale_d_évacuation,1,0),0)))</f>
        <v>0</v>
      </c>
      <c r="EQ7" s="225"/>
      <c r="ER7" s="225"/>
      <c r="ES7" s="225"/>
      <c r="ET7" s="225"/>
      <c r="EU7" s="225"/>
      <c r="EV7" s="225"/>
      <c r="EW7" s="225"/>
      <c r="EX7" s="225"/>
      <c r="EY7" s="225"/>
      <c r="EZ7" s="225"/>
      <c r="FA7" s="225"/>
      <c r="FB7" s="225"/>
      <c r="FC7" s="225"/>
      <c r="FD7" s="225"/>
      <c r="FE7" s="225"/>
      <c r="FF7" s="225"/>
      <c r="FG7" s="225"/>
      <c r="FH7" s="225"/>
      <c r="FI7" s="225"/>
      <c r="FJ7" s="225"/>
      <c r="FK7" s="225"/>
      <c r="FL7" s="225"/>
      <c r="FM7" s="225"/>
      <c r="FN7" s="225"/>
      <c r="FO7" s="332">
        <f t="shared" ref="FO7:FO31" si="7">IF(Remplissage_du_brin_descendant=0,0,IF(FR7="",0,IF(FQ7&lt;&gt;0,IF(FR7=FR6,FO6,FO6+1))))</f>
        <v>0</v>
      </c>
      <c r="FP7" s="236">
        <f t="shared" ref="FP7:FP31" si="8">IF(Remplissage_du_brin_descendant=0,0,IF(FR7="","",+CO7*EO7+CP7*EP7+CQ7*EQ7+CR7*ER7+CS7*ES7+CT7*ET7+CU7*EU7+CV7*EV7+CW7*EW7+CX7*EX7+CY7*EY7+CZ7*EZ7+DA7*FA7+DB7*FB7+DC7*FC7+DD7*FD7+DE7*FE7+DF7*FF7+DG7*FG7+DH7*FH7+DI7*FI7+DJ7*FJ7+DK7*FK7+DL7*FL7+DM7*FM7+DN7+FN7))</f>
        <v>0</v>
      </c>
      <c r="FQ7" s="238">
        <f t="shared" ref="FQ7:FQ31" si="9">IF(Remplissage_du_brin_descendant=0,0,IF(FR7="","",DO7*EO7+DP7*EP7+DQ7*EQ7+DR7*ER7+DS7*ES7+DT7*ET7+DU7*EU7+DV7*EV7+DW7*EW7+DX7*EX7+DY7*EY7+DZ7*EZ7+EA7*FA7+EB7*FB7+EC7*FC7+ED7*FD7+EE7*FE7+EF7*FF7+EG7*FG7+EH7*FH7+EI7*FI7+EJ7*FJ7+EK7*FK7+EL7*FL7+EM7*FM7+EN7*FN7))</f>
        <v>0</v>
      </c>
      <c r="FR7" s="224">
        <f>IF(Remplissage_du_brin_descendant=0,0,IF(1&gt;NBPylône,"",IF(EO7=1,FR6,FR6+1)))</f>
        <v>0</v>
      </c>
    </row>
    <row r="8" spans="1:174" x14ac:dyDescent="0.2">
      <c r="A8" s="62" t="str">
        <f>'     2-DL     '!C10</f>
        <v/>
      </c>
      <c r="B8" s="65" t="str">
        <f>'     2-DL     '!D10</f>
        <v/>
      </c>
      <c r="C8" s="63">
        <f>IF(B8="",0,'     2-DL     '!E10)</f>
        <v>0</v>
      </c>
      <c r="D8" s="66"/>
      <c r="E8" s="4">
        <f>IF(C8=0,0,'     2-DL     '!F10)</f>
        <v>0</v>
      </c>
      <c r="F8" s="4">
        <f>IF(C8=0,0,IF(S_TempsEvacuationVehicule=1,A_TempsEvacuationVéhicule,'     2-DL     '!H10))</f>
        <v>0</v>
      </c>
      <c r="G8" s="4">
        <f>IF(C8=0,0,IF(S_TempsAccèsPortéeSuivante=1,A_TempsAccèsPortéeSuivante,'     2-DL     '!J10))</f>
        <v>0</v>
      </c>
      <c r="H8" s="4">
        <f>IF(C8=0,0,'     2-DL     '!L10)</f>
        <v>0</v>
      </c>
      <c r="I8" s="66"/>
      <c r="J8" s="236">
        <f>IF($C8=0,0,IF(ROUNDDOWN(SUM($C$6:C8)/Espacement_Véhicules+1,0)&gt;NMaxSiègeEquipe*(1+(100-Remplissage_du_brin_montant)*0.005),NMaxSiègeEquipe*(1+(100-Remplissage_du_brin_montant)*0.005) +1,ROUNDDOWN(SUM($C$6:C8)/Espacement_Véhicules+1,0)))</f>
        <v>0</v>
      </c>
      <c r="K8" s="236">
        <f>IF($C8=0,0,IF(ROUNDDOWN(SUM($C$7:C8)/Espacement_Véhicules+1,0)&gt;NMaxSiègeEquipe*(1+(100-Remplissage_du_brin_montant)*0.005),NMaxSiègeEquipe*(1+(100-Remplissage_du_brin_montant)*0.005) +1,ROUNDDOWN(SUM($C$7:C8)/Espacement_Véhicules+1,0)))</f>
        <v>0</v>
      </c>
      <c r="L8" s="236">
        <f>IF($C8=0,0,ROUNDDOWN($C8/Espacement_Véhicules+1,0))</f>
        <v>0</v>
      </c>
      <c r="M8" s="350"/>
      <c r="N8" s="350"/>
      <c r="O8" s="350"/>
      <c r="P8" s="350"/>
      <c r="Q8" s="350"/>
      <c r="R8" s="350"/>
      <c r="S8" s="350"/>
      <c r="T8" s="350"/>
      <c r="U8" s="350"/>
      <c r="V8" s="350"/>
      <c r="W8" s="350"/>
      <c r="X8" s="350"/>
      <c r="Y8" s="350"/>
      <c r="Z8" s="350"/>
      <c r="AA8" s="350"/>
      <c r="AB8" s="350"/>
      <c r="AC8" s="350"/>
      <c r="AD8" s="350"/>
      <c r="AE8" s="350"/>
      <c r="AF8" s="350"/>
      <c r="AG8" s="350"/>
      <c r="AH8" s="350"/>
      <c r="AI8" s="350"/>
      <c r="AJ8" s="356">
        <f t="shared" si="0"/>
        <v>0</v>
      </c>
      <c r="AK8" s="356">
        <f t="shared" ref="AK8:AK31" si="10">IF($C8=0,0,IF(AK7+$F8*(K8-K7)*Remplissage_du_brin_montant/100+$H8&gt;=Durée_maximale_d_évacuation,Durée_maximale_d_évacuation,IF(AK7+$F8*(K8-K7)*Remplissage_du_brin_montant/100+$G8+$F9*(K9-K8)*Remplissage_du_brin_montant/100+$H9&gt;=Durée_maximale_d_évacuation,AK7+$F8*(K8-K7)*Remplissage_du_brin_montant/100+$H8,AK7+$F8*(K8-K7)*Remplissage_du_brin_montant/100+$G8)))</f>
        <v>0</v>
      </c>
      <c r="AL8" s="356">
        <f>IF($C8=0,0,IF($E8+$F8*L8*Remplissage_du_brin_montant/100+$G8+($F9-$F8)*L9*Remplissage_du_brin_montant/100+$H9&gt;=Durée_maximale_d_évacuation,$E8+$F8*L8*Remplissage_du_brin_montant/100+$H8,$E8+$F8*L8*Remplissage_du_brin_montant/100+$G8))</f>
        <v>0</v>
      </c>
      <c r="AM8" s="357"/>
      <c r="AN8" s="357"/>
      <c r="AO8" s="357"/>
      <c r="AP8" s="357"/>
      <c r="AQ8" s="357"/>
      <c r="AR8" s="357"/>
      <c r="AS8" s="357"/>
      <c r="AT8" s="357"/>
      <c r="AU8" s="357"/>
      <c r="AV8" s="357"/>
      <c r="AW8" s="357"/>
      <c r="AX8" s="357"/>
      <c r="AY8" s="357"/>
      <c r="AZ8" s="357"/>
      <c r="BA8" s="357"/>
      <c r="BB8" s="357"/>
      <c r="BC8" s="357"/>
      <c r="BD8" s="357"/>
      <c r="BE8" s="357"/>
      <c r="BF8" s="357"/>
      <c r="BG8" s="357"/>
      <c r="BH8" s="357"/>
      <c r="BI8" s="357"/>
      <c r="BJ8" s="224">
        <f t="shared" si="1"/>
        <v>0</v>
      </c>
      <c r="BK8" s="224">
        <f t="shared" ref="BK8:BK31" si="11">IF(OR(BJ8=1,BK7=0),0,IF(K8=0,0,IF(K8&lt;NMaxSiègeEquipe*(1+(100-Remplissage_du_brin_montant)*0.005)+1,IF(AK8&lt;Durée_maximale_d_évacuation,1,0),0)))</f>
        <v>0</v>
      </c>
      <c r="BL8" s="224">
        <f>IF(SUM(BJ8:BK8)&gt;0,0,IF(L8=0,0,IF(L8&lt;NMaxSiègeEquipe*(1+(100-Remplissage_du_brin_montant)*0.005)+1,IF(AL8&lt;Durée_maximale_d_évacuation,1,0),0)))</f>
        <v>0</v>
      </c>
      <c r="BM8" s="225"/>
      <c r="BN8" s="225"/>
      <c r="BO8" s="225"/>
      <c r="BP8" s="225"/>
      <c r="BQ8" s="225"/>
      <c r="BR8" s="225"/>
      <c r="BS8" s="225"/>
      <c r="BT8" s="225"/>
      <c r="BU8" s="225"/>
      <c r="BV8" s="225"/>
      <c r="BW8" s="225"/>
      <c r="BX8" s="225"/>
      <c r="BY8" s="225"/>
      <c r="BZ8" s="225"/>
      <c r="CA8" s="225"/>
      <c r="CB8" s="225"/>
      <c r="CC8" s="225"/>
      <c r="CD8" s="225"/>
      <c r="CE8" s="225"/>
      <c r="CF8" s="225"/>
      <c r="CG8" s="225"/>
      <c r="CH8" s="225"/>
      <c r="CI8" s="225"/>
      <c r="CJ8" s="332">
        <f t="shared" si="2"/>
        <v>0</v>
      </c>
      <c r="CK8" s="236">
        <f t="shared" si="3"/>
        <v>0</v>
      </c>
      <c r="CL8" s="238">
        <f t="shared" si="4"/>
        <v>0</v>
      </c>
      <c r="CM8" s="224">
        <f>IF(Remplissage_du_brin_montant=0,0,IF(2&gt;NBPylône,"",IF(SUM(BJ8:BK8)=1,CM7,CM7+1)))</f>
        <v>0</v>
      </c>
      <c r="CN8" s="17"/>
      <c r="CO8" s="236">
        <f>IF(C8=0,0,IF(ROUNDDOWN(SUM($C$6:C8)/Espacement_Véhicules+1,0)&gt;NMaxSiègeEquipe*(1+(100-Remplissage_du_brin_descendant)*0.005),NMaxSiègeEquipe*(1+(100-Remplissage_du_brin_descendant)*0.005) +1,ROUNDDOWN(SUM($C$6:C8)/Espacement_Véhicules+1,0)))</f>
        <v>0</v>
      </c>
      <c r="CP8" s="236">
        <f>IF($C8=0,0,IF(ROUNDDOWN(SUM($C$7:C8)/Espacement_Véhicules+1,0)&gt;NMaxSiègeEquipe*(1+(100-Remplissage_du_brin_descendant)*0.005),NMaxSiègeEquipe*(1+(100-Remplissage_du_brin_descendant)*0.005) +1,ROUNDDOWN(SUM($C$7:C8)/Espacement_Véhicules+1,0)))</f>
        <v>0</v>
      </c>
      <c r="CQ8" s="236">
        <f>IF($C8=0,0,ROUNDDOWN($C8/Espacement_Véhicules+1,0))</f>
        <v>0</v>
      </c>
      <c r="CR8" s="350"/>
      <c r="CS8" s="350"/>
      <c r="CT8" s="350"/>
      <c r="CU8" s="350"/>
      <c r="CV8" s="350"/>
      <c r="CW8" s="350"/>
      <c r="CX8" s="350"/>
      <c r="CY8" s="350"/>
      <c r="CZ8" s="350"/>
      <c r="DA8" s="350"/>
      <c r="DB8" s="350"/>
      <c r="DC8" s="350"/>
      <c r="DD8" s="350"/>
      <c r="DE8" s="350"/>
      <c r="DF8" s="350"/>
      <c r="DG8" s="350"/>
      <c r="DH8" s="350"/>
      <c r="DI8" s="350"/>
      <c r="DJ8" s="350"/>
      <c r="DK8" s="350"/>
      <c r="DL8" s="350"/>
      <c r="DM8" s="350"/>
      <c r="DN8" s="350"/>
      <c r="DO8" s="356">
        <f t="shared" si="5"/>
        <v>0</v>
      </c>
      <c r="DP8" s="356">
        <f t="shared" ref="DP8:DP31" si="12">IF($C8=0,0,IF(DP7+$F8*(CP8-CP7)*Remplissage_du_brin_descendant/100+$H8&gt;=Durée_maximale_d_évacuation,Durée_maximale_d_évacuation,IF(DP7+$F8*(CP8-CP7)*Remplissage_du_brin_descendant/100+$G8+$F9*(CP9-CP8)*Remplissage_du_brin_descendant/100+$H9&gt;=Durée_maximale_d_évacuation,DP7+$F8*(CP8-CP7)*Remplissage_du_brin_descendant/100+$H8,DP7+$F8*(CP8-CP7)*Remplissage_du_brin_descendant/100+$G8)))</f>
        <v>0</v>
      </c>
      <c r="DQ8" s="356">
        <f>IF($C8=0,0,IF($E8+$F8*CQ8*Remplissage_du_brin_descendant/100+$G8+($F9-$F8)*CQ9*Remplissage_du_brin_descendant/100+$H9&gt;=Durée_maximale_d_évacuation,$E8+$F8*CQ8*Remplissage_du_brin_descendant/100+$H8,$E8+$F8*CQ8*Remplissage_du_brin_descendant/100+$G8))</f>
        <v>0</v>
      </c>
      <c r="DR8" s="357"/>
      <c r="DS8" s="357"/>
      <c r="DT8" s="357"/>
      <c r="DU8" s="357"/>
      <c r="DV8" s="357"/>
      <c r="DW8" s="357"/>
      <c r="DX8" s="357"/>
      <c r="DY8" s="357"/>
      <c r="DZ8" s="357"/>
      <c r="EA8" s="357"/>
      <c r="EB8" s="357"/>
      <c r="EC8" s="357"/>
      <c r="ED8" s="357"/>
      <c r="EE8" s="357"/>
      <c r="EF8" s="357"/>
      <c r="EG8" s="357"/>
      <c r="EH8" s="357"/>
      <c r="EI8" s="357"/>
      <c r="EJ8" s="357"/>
      <c r="EK8" s="357"/>
      <c r="EL8" s="357"/>
      <c r="EM8" s="357"/>
      <c r="EN8" s="357"/>
      <c r="EO8" s="224">
        <f t="shared" si="6"/>
        <v>0</v>
      </c>
      <c r="EP8" s="224">
        <f t="shared" ref="EP8:EP31" si="13">IF(OR(EO8=1,EP7=0),0,IF(CP8=0,0,IF(CP8&lt;NMaxSiègeEquipe*(1+(100-Remplissage_du_brin_descendant)*0.005)+1,IF(DP8&lt;Durée_maximale_d_évacuation,1,0),0)))</f>
        <v>0</v>
      </c>
      <c r="EQ8" s="224">
        <f>IF(SUM(EO8:EP8)&gt;0,0,IF(CQ8=0,0,IF(CQ8&lt;NMaxSiègeEquipe*(1+(100-Remplissage_du_brin_descendant)*0.005)+1,IF(DQ8&lt;Durée_maximale_d_évacuation,1,0),0)))</f>
        <v>0</v>
      </c>
      <c r="ER8" s="225"/>
      <c r="ES8" s="225"/>
      <c r="ET8" s="225"/>
      <c r="EU8" s="225"/>
      <c r="EV8" s="225"/>
      <c r="EW8" s="225"/>
      <c r="EX8" s="225"/>
      <c r="EY8" s="225"/>
      <c r="EZ8" s="225"/>
      <c r="FA8" s="225"/>
      <c r="FB8" s="225"/>
      <c r="FC8" s="225"/>
      <c r="FD8" s="225"/>
      <c r="FE8" s="225"/>
      <c r="FF8" s="225"/>
      <c r="FG8" s="225"/>
      <c r="FH8" s="225"/>
      <c r="FI8" s="225"/>
      <c r="FJ8" s="225"/>
      <c r="FK8" s="225"/>
      <c r="FL8" s="225"/>
      <c r="FM8" s="225"/>
      <c r="FN8" s="225"/>
      <c r="FO8" s="332">
        <f t="shared" si="7"/>
        <v>0</v>
      </c>
      <c r="FP8" s="236">
        <f t="shared" si="8"/>
        <v>0</v>
      </c>
      <c r="FQ8" s="238">
        <f t="shared" si="9"/>
        <v>0</v>
      </c>
      <c r="FR8" s="224">
        <f>IF(Remplissage_du_brin_descendant=0,0,IF(2&gt;NBPylône,"",IF(SUM(EO8:EP8)=1,FR7,FR7+1)))</f>
        <v>0</v>
      </c>
    </row>
    <row r="9" spans="1:174" x14ac:dyDescent="0.2">
      <c r="A9" s="62" t="str">
        <f>'     2-DL     '!C11</f>
        <v/>
      </c>
      <c r="B9" s="65" t="str">
        <f>'     2-DL     '!D11</f>
        <v/>
      </c>
      <c r="C9" s="63">
        <f>IF(B9="",0,'     2-DL     '!E11)</f>
        <v>0</v>
      </c>
      <c r="D9" s="66"/>
      <c r="E9" s="4">
        <f>IF(C9=0,0,'     2-DL     '!F11)</f>
        <v>0</v>
      </c>
      <c r="F9" s="4">
        <f>IF(C9=0,0,IF(S_TempsEvacuationVehicule=1,A_TempsEvacuationVéhicule,'     2-DL     '!H11))</f>
        <v>0</v>
      </c>
      <c r="G9" s="4">
        <f>IF(C9=0,0,IF(S_TempsAccèsPortéeSuivante=1,A_TempsAccèsPortéeSuivante,'     2-DL     '!J11))</f>
        <v>0</v>
      </c>
      <c r="H9" s="4">
        <f>IF(C9=0,0,'     2-DL     '!L11)</f>
        <v>0</v>
      </c>
      <c r="I9" s="66"/>
      <c r="J9" s="236">
        <f>IF($C9=0,0,IF(ROUNDDOWN(SUM($C$6:C9)/Espacement_Véhicules+1,0)&gt;NMaxSiègeEquipe*(1+(100-Remplissage_du_brin_montant)*0.005),NMaxSiègeEquipe*(1+(100-Remplissage_du_brin_montant)*0.005) +1,ROUNDDOWN(SUM($C$6:C9)/Espacement_Véhicules+1,0)))</f>
        <v>0</v>
      </c>
      <c r="K9" s="236">
        <f>IF($C9=0,0,IF(ROUNDDOWN(SUM($C$7:C9)/Espacement_Véhicules+1,0)&gt;NMaxSiègeEquipe*(1+(100-Remplissage_du_brin_montant)*0.005),NMaxSiègeEquipe*(1+(100-Remplissage_du_brin_montant)*0.005) +1,ROUNDDOWN(SUM($C$7:C9)/Espacement_Véhicules+1,0)))</f>
        <v>0</v>
      </c>
      <c r="L9" s="236">
        <f>IF($C9=0,0,IF(ROUNDDOWN(SUM($C$8:C9)/Espacement_Véhicules+1,0)&gt;NMaxSiègeEquipe*(1+(100-Remplissage_du_brin_montant)*0.005),NMaxSiègeEquipe*(1+(100-Remplissage_du_brin_montant)*0.005) +1,ROUNDDOWN(SUM($C$8:C9)/Espacement_Véhicules+1,0)))</f>
        <v>0</v>
      </c>
      <c r="M9" s="236">
        <f>IF($C9=0,0,ROUNDDOWN($C9/Espacement_Véhicules+1,0))</f>
        <v>0</v>
      </c>
      <c r="N9" s="350"/>
      <c r="O9" s="350"/>
      <c r="P9" s="350"/>
      <c r="Q9" s="350"/>
      <c r="R9" s="350"/>
      <c r="S9" s="350"/>
      <c r="T9" s="350"/>
      <c r="U9" s="350"/>
      <c r="V9" s="350"/>
      <c r="W9" s="350"/>
      <c r="X9" s="350"/>
      <c r="Y9" s="350"/>
      <c r="Z9" s="350"/>
      <c r="AA9" s="350"/>
      <c r="AB9" s="350"/>
      <c r="AC9" s="350"/>
      <c r="AD9" s="350"/>
      <c r="AE9" s="350"/>
      <c r="AF9" s="350"/>
      <c r="AG9" s="350"/>
      <c r="AH9" s="350"/>
      <c r="AI9" s="350"/>
      <c r="AJ9" s="356">
        <f t="shared" si="0"/>
        <v>0</v>
      </c>
      <c r="AK9" s="356">
        <f t="shared" si="10"/>
        <v>0</v>
      </c>
      <c r="AL9" s="356">
        <f t="shared" ref="AL9:AL31" si="14">IF($C9=0,0,IF(AL8+$F9*(L9-L8)*Remplissage_du_brin_montant/100+$H9&gt;=Durée_maximale_d_évacuation,Durée_maximale_d_évacuation,IF(AL8+$F9*(L9-L8)*Remplissage_du_brin_montant/100+$G9+$F10*(L10-L9)*Remplissage_du_brin_montant/100+$H10&gt;=Durée_maximale_d_évacuation,AL8+$F9*(L9-L8)*Remplissage_du_brin_montant/100+$H9,AL8+$F9*(L9-L8)*Remplissage_du_brin_montant/100+$G9)))</f>
        <v>0</v>
      </c>
      <c r="AM9" s="356">
        <f>IF($C9=0,0,IF($E9+$F9*M9*Remplissage_du_brin_montant/100+$G9+($F10-$F9)*M10*Remplissage_du_brin_montant/100+$H10&gt;=Durée_maximale_d_évacuation,$E9+$F9*M9*Remplissage_du_brin_montant/100+$H9,$E9+$F9*M9*Remplissage_du_brin_montant/100+$G9))</f>
        <v>0</v>
      </c>
      <c r="AN9" s="357"/>
      <c r="AO9" s="357"/>
      <c r="AP9" s="357"/>
      <c r="AQ9" s="357"/>
      <c r="AR9" s="357"/>
      <c r="AS9" s="357"/>
      <c r="AT9" s="357"/>
      <c r="AU9" s="357"/>
      <c r="AV9" s="357"/>
      <c r="AW9" s="357"/>
      <c r="AX9" s="357"/>
      <c r="AY9" s="357"/>
      <c r="AZ9" s="357"/>
      <c r="BA9" s="357"/>
      <c r="BB9" s="357"/>
      <c r="BC9" s="357"/>
      <c r="BD9" s="357"/>
      <c r="BE9" s="357"/>
      <c r="BF9" s="357"/>
      <c r="BG9" s="357"/>
      <c r="BH9" s="357"/>
      <c r="BI9" s="357"/>
      <c r="BJ9" s="224">
        <f t="shared" si="1"/>
        <v>0</v>
      </c>
      <c r="BK9" s="224">
        <f t="shared" si="11"/>
        <v>0</v>
      </c>
      <c r="BL9" s="224">
        <f t="shared" ref="BL9:BL31" si="15">IF(OR(BK9=1,BL8=0),0,IF(L9=0,0,IF(L9&lt;NMaxSiègeEquipe*(1+(100-Remplissage_du_brin_montant)*0.005)+1,IF(AL9&lt;Durée_maximale_d_évacuation,1,0),0)))</f>
        <v>0</v>
      </c>
      <c r="BM9" s="224">
        <f>IF(SUM(BJ9:BL9)&gt;0,0,IF(M9=0,0,IF(M9&lt;NMaxSiègeEquipe*(1+(100-Remplissage_du_brin_montant)*0.005)+1,IF(AM9&lt;Durée_maximale_d_évacuation,1,0),0)))</f>
        <v>0</v>
      </c>
      <c r="BN9" s="225"/>
      <c r="BO9" s="225"/>
      <c r="BP9" s="225"/>
      <c r="BQ9" s="225"/>
      <c r="BR9" s="225"/>
      <c r="BS9" s="225"/>
      <c r="BT9" s="225"/>
      <c r="BU9" s="225"/>
      <c r="BV9" s="225"/>
      <c r="BW9" s="225"/>
      <c r="BX9" s="225"/>
      <c r="BY9" s="225"/>
      <c r="BZ9" s="225"/>
      <c r="CA9" s="225"/>
      <c r="CB9" s="225"/>
      <c r="CC9" s="225"/>
      <c r="CD9" s="225"/>
      <c r="CE9" s="225"/>
      <c r="CF9" s="225"/>
      <c r="CG9" s="225"/>
      <c r="CH9" s="225"/>
      <c r="CI9" s="225"/>
      <c r="CJ9" s="332">
        <f t="shared" si="2"/>
        <v>0</v>
      </c>
      <c r="CK9" s="236">
        <f t="shared" si="3"/>
        <v>0</v>
      </c>
      <c r="CL9" s="238">
        <f t="shared" si="4"/>
        <v>0</v>
      </c>
      <c r="CM9" s="224">
        <f>IF(Remplissage_du_brin_montant=0,0,IF(3&gt;NBPylône,"",IF(SUM(BJ9:BL9)=1,CM8,CM8+1)))</f>
        <v>0</v>
      </c>
      <c r="CN9" s="17"/>
      <c r="CO9" s="236">
        <f>IF(C9=0,0,IF(ROUNDDOWN(SUM($C$6:C9)/Espacement_Véhicules+1,0)&gt;NMaxSiègeEquipe*(1+(100-Remplissage_du_brin_descendant)*0.005),NMaxSiègeEquipe*(1+(100-Remplissage_du_brin_descendant)*0.005) +1,ROUNDDOWN(SUM($C$6:C9)/Espacement_Véhicules+1,0)))</f>
        <v>0</v>
      </c>
      <c r="CP9" s="236">
        <f>IF($C9=0,0,IF(ROUNDDOWN(SUM($C$7:C9)/Espacement_Véhicules+1,0)&gt;NMaxSiègeEquipe*(1+(100-Remplissage_du_brin_descendant)*0.005),NMaxSiègeEquipe*(1+(100-Remplissage_du_brin_descendant)*0.005) +1,ROUNDDOWN(SUM($C$7:C9)/Espacement_Véhicules+1,0)))</f>
        <v>0</v>
      </c>
      <c r="CQ9" s="236">
        <f>IF($C9=0,0,IF(ROUNDDOWN(SUM($C$8:C9)/Espacement_Véhicules+1,0)&gt;NMaxSiègeEquipe*(1+(100-Remplissage_du_brin_descendant)*0.005),NMaxSiègeEquipe*(1+(100-Remplissage_du_brin_descendant)*0.005) +1,ROUNDDOWN(SUM($C$8:C9)/Espacement_Véhicules+1,0)))</f>
        <v>0</v>
      </c>
      <c r="CR9" s="236">
        <f>IF($C9=0,0,ROUNDDOWN($C9/Espacement_Véhicules+1,0))</f>
        <v>0</v>
      </c>
      <c r="CS9" s="350"/>
      <c r="CT9" s="350"/>
      <c r="CU9" s="350"/>
      <c r="CV9" s="350"/>
      <c r="CW9" s="350"/>
      <c r="CX9" s="350"/>
      <c r="CY9" s="350"/>
      <c r="CZ9" s="350"/>
      <c r="DA9" s="350"/>
      <c r="DB9" s="350"/>
      <c r="DC9" s="350"/>
      <c r="DD9" s="350"/>
      <c r="DE9" s="350"/>
      <c r="DF9" s="350"/>
      <c r="DG9" s="350"/>
      <c r="DH9" s="350"/>
      <c r="DI9" s="350"/>
      <c r="DJ9" s="350"/>
      <c r="DK9" s="350"/>
      <c r="DL9" s="350"/>
      <c r="DM9" s="350"/>
      <c r="DN9" s="350"/>
      <c r="DO9" s="356">
        <f t="shared" si="5"/>
        <v>0</v>
      </c>
      <c r="DP9" s="356">
        <f t="shared" si="12"/>
        <v>0</v>
      </c>
      <c r="DQ9" s="356">
        <f t="shared" ref="DQ9:DQ31" si="16">IF($C9=0,0,IF(DQ8+$F9*(CQ9-CQ8)*Remplissage_du_brin_descendant/100+$H9&gt;=Durée_maximale_d_évacuation,Durée_maximale_d_évacuation,IF(DQ8+$F9*(CQ9-CQ8)*Remplissage_du_brin_descendant/100+$G9+$F10*(CQ10-CQ9)*Remplissage_du_brin_descendant/100+$H10&gt;=Durée_maximale_d_évacuation,DQ8+$F9*(CQ9-CQ8)*Remplissage_du_brin_descendant/100+$H9,DQ8+$F9*(CQ9-CQ8)*Remplissage_du_brin_descendant/100+$G9)))</f>
        <v>0</v>
      </c>
      <c r="DR9" s="356">
        <f>IF($C9=0,0,IF($E9+$F9*CR9*Remplissage_du_brin_descendant/100+$G9+($F10-$F9)*CR10*Remplissage_du_brin_descendant/100+$H10&gt;=Durée_maximale_d_évacuation,$E9+$F9*CR9*Remplissage_du_brin_descendant/100+$H9,$E9+$F9*CR9*Remplissage_du_brin_descendant/100+$G9))</f>
        <v>0</v>
      </c>
      <c r="DS9" s="357"/>
      <c r="DT9" s="357"/>
      <c r="DU9" s="357"/>
      <c r="DV9" s="357"/>
      <c r="DW9" s="357"/>
      <c r="DX9" s="357"/>
      <c r="DY9" s="357"/>
      <c r="DZ9" s="357"/>
      <c r="EA9" s="357"/>
      <c r="EB9" s="357"/>
      <c r="EC9" s="357"/>
      <c r="ED9" s="357"/>
      <c r="EE9" s="357"/>
      <c r="EF9" s="357"/>
      <c r="EG9" s="357"/>
      <c r="EH9" s="357"/>
      <c r="EI9" s="357"/>
      <c r="EJ9" s="357"/>
      <c r="EK9" s="357"/>
      <c r="EL9" s="357"/>
      <c r="EM9" s="357"/>
      <c r="EN9" s="357"/>
      <c r="EO9" s="224">
        <f t="shared" si="6"/>
        <v>0</v>
      </c>
      <c r="EP9" s="224">
        <f t="shared" si="13"/>
        <v>0</v>
      </c>
      <c r="EQ9" s="224">
        <f t="shared" ref="EQ9:EQ31" si="17">IF(OR(EP9=1,EQ8=0),0,IF(CQ9=0,0,IF(CQ9&lt;NMaxSiègeEquipe*(1+(100-Remplissage_du_brin_descendant)*0.005)+1,IF(DQ9&lt;Durée_maximale_d_évacuation,1,0),0)))</f>
        <v>0</v>
      </c>
      <c r="ER9" s="224">
        <f>IF(SUM(EO9:EQ9)&gt;0,0,IF(CR9=0,0,IF(CR9&lt;NMaxSiègeEquipe*(1+(100-Remplissage_du_brin_descendant)*0.005)+1,IF(DR9&lt;Durée_maximale_d_évacuation,1,0),0)))</f>
        <v>0</v>
      </c>
      <c r="ES9" s="225"/>
      <c r="ET9" s="225"/>
      <c r="EU9" s="225"/>
      <c r="EV9" s="225"/>
      <c r="EW9" s="225"/>
      <c r="EX9" s="225"/>
      <c r="EY9" s="225"/>
      <c r="EZ9" s="225"/>
      <c r="FA9" s="225"/>
      <c r="FB9" s="225"/>
      <c r="FC9" s="225"/>
      <c r="FD9" s="225"/>
      <c r="FE9" s="225"/>
      <c r="FF9" s="225"/>
      <c r="FG9" s="225"/>
      <c r="FH9" s="225"/>
      <c r="FI9" s="225"/>
      <c r="FJ9" s="225"/>
      <c r="FK9" s="225"/>
      <c r="FL9" s="225"/>
      <c r="FM9" s="225"/>
      <c r="FN9" s="225"/>
      <c r="FO9" s="332">
        <f t="shared" si="7"/>
        <v>0</v>
      </c>
      <c r="FP9" s="236">
        <f t="shared" si="8"/>
        <v>0</v>
      </c>
      <c r="FQ9" s="238">
        <f t="shared" si="9"/>
        <v>0</v>
      </c>
      <c r="FR9" s="224">
        <f>IF(Remplissage_du_brin_descendant=0,0,IF(3&gt;NBPylône,"",IF(SUM(EO9:EQ9)=1,FR8,FR8+1)))</f>
        <v>0</v>
      </c>
    </row>
    <row r="10" spans="1:174" x14ac:dyDescent="0.2">
      <c r="A10" s="62" t="str">
        <f>'     2-DL     '!C12</f>
        <v/>
      </c>
      <c r="B10" s="65" t="str">
        <f>'     2-DL     '!D12</f>
        <v/>
      </c>
      <c r="C10" s="63">
        <f>IF(B10="",0,'     2-DL     '!E12)</f>
        <v>0</v>
      </c>
      <c r="D10" s="66"/>
      <c r="E10" s="4">
        <f>IF(C10=0,0,'     2-DL     '!F12)</f>
        <v>0</v>
      </c>
      <c r="F10" s="4">
        <f>IF(C10=0,0,IF(S_TempsEvacuationVehicule=1,A_TempsEvacuationVéhicule,'     2-DL     '!H12))</f>
        <v>0</v>
      </c>
      <c r="G10" s="4">
        <f>IF(C10=0,0,IF(S_TempsAccèsPortéeSuivante=1,A_TempsAccèsPortéeSuivante,'     2-DL     '!J12))</f>
        <v>0</v>
      </c>
      <c r="H10" s="4">
        <f>IF(C10=0,0,'     2-DL     '!L12)</f>
        <v>0</v>
      </c>
      <c r="I10" s="66"/>
      <c r="J10" s="236">
        <f>IF($C10=0,0,IF(ROUNDDOWN(SUM($C$6:C10)/Espacement_Véhicules+1,0)&gt;NMaxSiègeEquipe*(1+(100-Remplissage_du_brin_montant)*0.005),NMaxSiègeEquipe*(1+(100-Remplissage_du_brin_montant)*0.005) +1,ROUNDDOWN(SUM($C$6:C10)/Espacement_Véhicules+1,0)))</f>
        <v>0</v>
      </c>
      <c r="K10" s="236">
        <f>IF($C10=0,0,IF(ROUNDDOWN(SUM($C$7:C10)/Espacement_Véhicules+1,0)&gt;NMaxSiègeEquipe*(1+(100-Remplissage_du_brin_montant)*0.005),NMaxSiègeEquipe*(1+(100-Remplissage_du_brin_montant)*0.005) +1,ROUNDDOWN(SUM($C$7:C10)/Espacement_Véhicules+1,0)))</f>
        <v>0</v>
      </c>
      <c r="L10" s="236">
        <f>IF($C10=0,0,IF(ROUNDDOWN(SUM($C$8:C10)/Espacement_Véhicules+1,0)&gt;NMaxSiègeEquipe*(1+(100-Remplissage_du_brin_montant)*0.005),NMaxSiègeEquipe*(1+(100-Remplissage_du_brin_montant)*0.005) +1,ROUNDDOWN(SUM($C$8:C10)/Espacement_Véhicules+1,0)))</f>
        <v>0</v>
      </c>
      <c r="M10" s="236">
        <f>IF($C10=0,0,IF(ROUNDDOWN(SUM($C$9:C10)/Espacement_Véhicules+1,0)&gt;NMaxSiègeEquipe*(1+(100-Remplissage_du_brin_montant)*0.005),NMaxSiègeEquipe*(1+(100-Remplissage_du_brin_montant)*0.005) +1,ROUNDDOWN(SUM($C$9:C10)/Espacement_Véhicules+1,0)))</f>
        <v>0</v>
      </c>
      <c r="N10" s="236">
        <f>IF($C10=0,0,ROUNDDOWN($C10/Espacement_Véhicules+1,0))</f>
        <v>0</v>
      </c>
      <c r="O10" s="350"/>
      <c r="P10" s="350"/>
      <c r="Q10" s="350"/>
      <c r="R10" s="350"/>
      <c r="S10" s="350"/>
      <c r="T10" s="350"/>
      <c r="U10" s="350"/>
      <c r="V10" s="350"/>
      <c r="W10" s="350"/>
      <c r="X10" s="350"/>
      <c r="Y10" s="350"/>
      <c r="Z10" s="350"/>
      <c r="AA10" s="350"/>
      <c r="AB10" s="350"/>
      <c r="AC10" s="350"/>
      <c r="AD10" s="350"/>
      <c r="AE10" s="350"/>
      <c r="AF10" s="350"/>
      <c r="AG10" s="350"/>
      <c r="AH10" s="350"/>
      <c r="AI10" s="350"/>
      <c r="AJ10" s="356">
        <f t="shared" si="0"/>
        <v>0</v>
      </c>
      <c r="AK10" s="356">
        <f t="shared" si="10"/>
        <v>0</v>
      </c>
      <c r="AL10" s="356">
        <f t="shared" si="14"/>
        <v>0</v>
      </c>
      <c r="AM10" s="356">
        <f t="shared" ref="AM10:AM31" si="18">IF($C10=0,0,IF(AM9+$F10*(M10-M9)*Remplissage_du_brin_montant/100+$H10&gt;=Durée_maximale_d_évacuation,Durée_maximale_d_évacuation,IF(AM9+$F10*(M10-M9)*Remplissage_du_brin_montant/100+$G10+$F11*(M11-M10)*Remplissage_du_brin_montant/100+$H11&gt;=Durée_maximale_d_évacuation,AM9+$F10*(M10-M9)*Remplissage_du_brin_montant/100+$H10,AM9+$F10*(M10-M9)*Remplissage_du_brin_montant/100+$G10)))</f>
        <v>0</v>
      </c>
      <c r="AN10" s="356">
        <f>IF($C10=0,0,IF($E10+$F10*N10*Remplissage_du_brin_montant/100+$G10+($F11-$F10)*N11*Remplissage_du_brin_montant/100+$H11&gt;=Durée_maximale_d_évacuation,$E10+$F10*N10*Remplissage_du_brin_montant/100+$H10,$E10+$F10*N10*Remplissage_du_brin_montant/100+$G10))</f>
        <v>0</v>
      </c>
      <c r="AO10" s="357"/>
      <c r="AP10" s="357"/>
      <c r="AQ10" s="357"/>
      <c r="AR10" s="357"/>
      <c r="AS10" s="357"/>
      <c r="AT10" s="357"/>
      <c r="AU10" s="357"/>
      <c r="AV10" s="357"/>
      <c r="AW10" s="357"/>
      <c r="AX10" s="357"/>
      <c r="AY10" s="357"/>
      <c r="AZ10" s="357"/>
      <c r="BA10" s="357"/>
      <c r="BB10" s="357"/>
      <c r="BC10" s="357"/>
      <c r="BD10" s="357"/>
      <c r="BE10" s="357"/>
      <c r="BF10" s="357"/>
      <c r="BG10" s="357"/>
      <c r="BH10" s="357"/>
      <c r="BI10" s="357"/>
      <c r="BJ10" s="224">
        <f t="shared" si="1"/>
        <v>0</v>
      </c>
      <c r="BK10" s="224">
        <f t="shared" si="11"/>
        <v>0</v>
      </c>
      <c r="BL10" s="224">
        <f t="shared" si="15"/>
        <v>0</v>
      </c>
      <c r="BM10" s="224">
        <f t="shared" ref="BM10:BM31" si="19">IF(OR(BL10=1,BM9=0),0,IF(M10=0,0,IF(M10&lt;NMaxSiègeEquipe*(1+(100-Remplissage_du_brin_montant)*0.005)+1,IF(AM10&lt;Durée_maximale_d_évacuation,1,0),0)))</f>
        <v>0</v>
      </c>
      <c r="BN10" s="224">
        <f>IF(SUM(BJ10:BM10)&gt;0,0,IF(N10=0,0,IF(N10&lt;NMaxSiègeEquipe*(1+(100-Remplissage_du_brin_montant)*0.005)+1,IF(AN10&lt;Durée_maximale_d_évacuation,1,0),0)))</f>
        <v>0</v>
      </c>
      <c r="BO10" s="225"/>
      <c r="BP10" s="225"/>
      <c r="BQ10" s="225"/>
      <c r="BR10" s="225"/>
      <c r="BS10" s="225"/>
      <c r="BT10" s="225"/>
      <c r="BU10" s="225"/>
      <c r="BV10" s="225"/>
      <c r="BW10" s="225"/>
      <c r="BX10" s="225"/>
      <c r="BY10" s="225"/>
      <c r="BZ10" s="225"/>
      <c r="CA10" s="225"/>
      <c r="CB10" s="225"/>
      <c r="CC10" s="225"/>
      <c r="CD10" s="225"/>
      <c r="CE10" s="225"/>
      <c r="CF10" s="225"/>
      <c r="CG10" s="225"/>
      <c r="CH10" s="225"/>
      <c r="CI10" s="225"/>
      <c r="CJ10" s="332">
        <f t="shared" si="2"/>
        <v>0</v>
      </c>
      <c r="CK10" s="236">
        <f t="shared" si="3"/>
        <v>0</v>
      </c>
      <c r="CL10" s="238">
        <f t="shared" si="4"/>
        <v>0</v>
      </c>
      <c r="CM10" s="224">
        <f>IF(Remplissage_du_brin_montant=0,0,IF(4&gt;NBPylône,"",IF(SUM(BJ10:BM10)=1,CM9,CM9+1)))</f>
        <v>0</v>
      </c>
      <c r="CN10" s="17"/>
      <c r="CO10" s="236">
        <f>IF(C10=0,0,IF(ROUNDDOWN(SUM($C$6:C10)/Espacement_Véhicules+1,0)&gt;NMaxSiègeEquipe*(1+(100-Remplissage_du_brin_descendant)*0.005),NMaxSiègeEquipe*(1+(100-Remplissage_du_brin_descendant)*0.005) +1,ROUNDDOWN(SUM($C$6:C10)/Espacement_Véhicules+1,0)))</f>
        <v>0</v>
      </c>
      <c r="CP10" s="236">
        <f>IF($C10=0,0,IF(ROUNDDOWN(SUM($C$7:C10)/Espacement_Véhicules+1,0)&gt;NMaxSiègeEquipe*(1+(100-Remplissage_du_brin_descendant)*0.005),NMaxSiègeEquipe*(1+(100-Remplissage_du_brin_descendant)*0.005) +1,ROUNDDOWN(SUM($C$7:C10)/Espacement_Véhicules+1,0)))</f>
        <v>0</v>
      </c>
      <c r="CQ10" s="236">
        <f>IF($C10=0,0,IF(ROUNDDOWN(SUM($C$8:C10)/Espacement_Véhicules+1,0)&gt;NMaxSiègeEquipe*(1+(100-Remplissage_du_brin_descendant)*0.005),NMaxSiègeEquipe*(1+(100-Remplissage_du_brin_descendant)*0.005) +1,ROUNDDOWN(SUM($C$8:C10)/Espacement_Véhicules+1,0)))</f>
        <v>0</v>
      </c>
      <c r="CR10" s="236">
        <f>IF($C10=0,0,IF(ROUNDDOWN(SUM($C$9:C10)/Espacement_Véhicules+1,0)&gt;NMaxSiègeEquipe*(1+(100-Remplissage_du_brin_descendant)*0.005),NMaxSiègeEquipe*(1+(100-Remplissage_du_brin_descendant)*0.005) +1,ROUNDDOWN(SUM($C$9:C10)/Espacement_Véhicules+1,0)))</f>
        <v>0</v>
      </c>
      <c r="CS10" s="236">
        <f>IF($C10=0,0,ROUNDDOWN($C10/Espacement_Véhicules+1,0))</f>
        <v>0</v>
      </c>
      <c r="CT10" s="350"/>
      <c r="CU10" s="350"/>
      <c r="CV10" s="350"/>
      <c r="CW10" s="350"/>
      <c r="CX10" s="350"/>
      <c r="CY10" s="350"/>
      <c r="CZ10" s="350"/>
      <c r="DA10" s="350"/>
      <c r="DB10" s="350"/>
      <c r="DC10" s="350"/>
      <c r="DD10" s="350"/>
      <c r="DE10" s="350"/>
      <c r="DF10" s="350"/>
      <c r="DG10" s="350"/>
      <c r="DH10" s="350"/>
      <c r="DI10" s="350"/>
      <c r="DJ10" s="350"/>
      <c r="DK10" s="350"/>
      <c r="DL10" s="350"/>
      <c r="DM10" s="350"/>
      <c r="DN10" s="350"/>
      <c r="DO10" s="356">
        <f t="shared" si="5"/>
        <v>0</v>
      </c>
      <c r="DP10" s="356">
        <f t="shared" si="12"/>
        <v>0</v>
      </c>
      <c r="DQ10" s="356">
        <f t="shared" si="16"/>
        <v>0</v>
      </c>
      <c r="DR10" s="356">
        <f t="shared" ref="DR10:DR31" si="20">IF($C10=0,0,IF(DR9+$F10*(CR10-CR9)*Remplissage_du_brin_descendant/100+$H10&gt;=Durée_maximale_d_évacuation,Durée_maximale_d_évacuation,IF(DR9+$F10*(CR10-CR9)*Remplissage_du_brin_descendant/100+$G10+$F11*(CR11-CR10)*Remplissage_du_brin_descendant/100+$H11&gt;=Durée_maximale_d_évacuation,DR9+$F10*(CR10-CR9)*Remplissage_du_brin_descendant/100+$H10,DR9+$F10*(CR10-CR9)*Remplissage_du_brin_descendant/100+$G10)))</f>
        <v>0</v>
      </c>
      <c r="DS10" s="356">
        <f>IF($C10=0,0,IF($E10+$F10*CS10*Remplissage_du_brin_descendant/100+$G10+($F11-$F10)*CS11*Remplissage_du_brin_descendant/100+$H11&gt;=Durée_maximale_d_évacuation,$E10+$F10*CS10*Remplissage_du_brin_descendant/100+$H10,$E10+$F10*CS10*Remplissage_du_brin_descendant/100+$G10))</f>
        <v>0</v>
      </c>
      <c r="DT10" s="357"/>
      <c r="DU10" s="357"/>
      <c r="DV10" s="357"/>
      <c r="DW10" s="357"/>
      <c r="DX10" s="357"/>
      <c r="DY10" s="357"/>
      <c r="DZ10" s="357"/>
      <c r="EA10" s="357"/>
      <c r="EB10" s="357"/>
      <c r="EC10" s="357"/>
      <c r="ED10" s="357"/>
      <c r="EE10" s="357"/>
      <c r="EF10" s="357"/>
      <c r="EG10" s="357"/>
      <c r="EH10" s="357"/>
      <c r="EI10" s="357"/>
      <c r="EJ10" s="357"/>
      <c r="EK10" s="357"/>
      <c r="EL10" s="357"/>
      <c r="EM10" s="357"/>
      <c r="EN10" s="357"/>
      <c r="EO10" s="224">
        <f t="shared" si="6"/>
        <v>0</v>
      </c>
      <c r="EP10" s="224">
        <f t="shared" si="13"/>
        <v>0</v>
      </c>
      <c r="EQ10" s="224">
        <f t="shared" si="17"/>
        <v>0</v>
      </c>
      <c r="ER10" s="224">
        <f t="shared" ref="ER10:ER31" si="21">IF(OR(EQ10=1,ER9=0),0,IF(CR10=0,0,IF(CR10&lt;NMaxSiègeEquipe*(1+(100-Remplissage_du_brin_descendant)*0.005)+1,IF(DR10&lt;Durée_maximale_d_évacuation,1,0),0)))</f>
        <v>0</v>
      </c>
      <c r="ES10" s="224">
        <f>IF(SUM(EO10:ER10)&gt;0,0,IF(CS10=0,0,IF(CS10&lt;NMaxSiègeEquipe*(1+(100-Remplissage_du_brin_descendant)*0.005)+1,IF(DS10&lt;Durée_maximale_d_évacuation,1,0),0)))</f>
        <v>0</v>
      </c>
      <c r="ET10" s="225"/>
      <c r="EU10" s="225"/>
      <c r="EV10" s="225"/>
      <c r="EW10" s="225"/>
      <c r="EX10" s="225"/>
      <c r="EY10" s="225"/>
      <c r="EZ10" s="225"/>
      <c r="FA10" s="225"/>
      <c r="FB10" s="225"/>
      <c r="FC10" s="225"/>
      <c r="FD10" s="225"/>
      <c r="FE10" s="225"/>
      <c r="FF10" s="225"/>
      <c r="FG10" s="225"/>
      <c r="FH10" s="225"/>
      <c r="FI10" s="225"/>
      <c r="FJ10" s="225"/>
      <c r="FK10" s="225"/>
      <c r="FL10" s="225"/>
      <c r="FM10" s="225"/>
      <c r="FN10" s="225"/>
      <c r="FO10" s="332">
        <f t="shared" si="7"/>
        <v>0</v>
      </c>
      <c r="FP10" s="236">
        <f t="shared" si="8"/>
        <v>0</v>
      </c>
      <c r="FQ10" s="238">
        <f t="shared" si="9"/>
        <v>0</v>
      </c>
      <c r="FR10" s="224">
        <f>IF(Remplissage_du_brin_descendant=0,0,IF(4&gt;NBPylône,"",IF(SUM(EO10:ER10)=1,FR9,FR9+1)))</f>
        <v>0</v>
      </c>
    </row>
    <row r="11" spans="1:174" x14ac:dyDescent="0.2">
      <c r="A11" s="62" t="str">
        <f>'     2-DL     '!C13</f>
        <v/>
      </c>
      <c r="B11" s="65" t="str">
        <f>'     2-DL     '!D13</f>
        <v/>
      </c>
      <c r="C11" s="63">
        <f>IF(B11="",0,'     2-DL     '!E13)</f>
        <v>0</v>
      </c>
      <c r="D11" s="66"/>
      <c r="E11" s="4">
        <f>IF(C11=0,0,'     2-DL     '!F13)</f>
        <v>0</v>
      </c>
      <c r="F11" s="4">
        <f>IF(C11=0,0,IF(S_TempsEvacuationVehicule=1,A_TempsEvacuationVéhicule,'     2-DL     '!H13))</f>
        <v>0</v>
      </c>
      <c r="G11" s="4">
        <f>IF(C11=0,0,IF(S_TempsAccèsPortéeSuivante=1,A_TempsAccèsPortéeSuivante,'     2-DL     '!J13))</f>
        <v>0</v>
      </c>
      <c r="H11" s="4">
        <f>IF(C11=0,0,'     2-DL     '!L13)</f>
        <v>0</v>
      </c>
      <c r="I11" s="66"/>
      <c r="J11" s="236">
        <f>IF($C11=0,0,IF(ROUNDDOWN(SUM($C$6:C11)/Espacement_Véhicules+1,0)&gt;NMaxSiègeEquipe*(1+(100-Remplissage_du_brin_montant)*0.005),NMaxSiègeEquipe*(1+(100-Remplissage_du_brin_montant)*0.005) +1,ROUNDDOWN(SUM($C$6:C11)/Espacement_Véhicules+1,0)))</f>
        <v>0</v>
      </c>
      <c r="K11" s="236">
        <f>IF($C11=0,0,IF(ROUNDDOWN(SUM($C$7:C11)/Espacement_Véhicules+1,0)&gt;NMaxSiègeEquipe*(1+(100-Remplissage_du_brin_montant)*0.005),NMaxSiègeEquipe*(1+(100-Remplissage_du_brin_montant)*0.005) +1,ROUNDDOWN(SUM($C$7:C11)/Espacement_Véhicules+1,0)))</f>
        <v>0</v>
      </c>
      <c r="L11" s="236">
        <f>IF($C11=0,0,IF(ROUNDDOWN(SUM($C$8:C11)/Espacement_Véhicules+1,0)&gt;NMaxSiègeEquipe*(1+(100-Remplissage_du_brin_montant)*0.005),NMaxSiègeEquipe*(1+(100-Remplissage_du_brin_montant)*0.005) +1,ROUNDDOWN(SUM($C$8:C11)/Espacement_Véhicules+1,0)))</f>
        <v>0</v>
      </c>
      <c r="M11" s="236">
        <f>IF($C11=0,0,IF(ROUNDDOWN(SUM($C$9:C11)/Espacement_Véhicules+1,0)&gt;NMaxSiègeEquipe*(1+(100-Remplissage_du_brin_montant)*0.005),NMaxSiègeEquipe*(1+(100-Remplissage_du_brin_montant)*0.005) +1,ROUNDDOWN(SUM($C$9:C11)/Espacement_Véhicules+1,0)))</f>
        <v>0</v>
      </c>
      <c r="N11" s="236">
        <f>IF($C11=0,0,IF(ROUNDDOWN(SUM($C$10:C11)/Espacement_Véhicules+1,0)&gt;NMaxSiègeEquipe*(1+(100-Remplissage_du_brin_montant)*0.005),NMaxSiègeEquipe*(1+(100-Remplissage_du_brin_montant)*0.005) +1,ROUNDDOWN(SUM($C$10:C11)/Espacement_Véhicules+1,0)))</f>
        <v>0</v>
      </c>
      <c r="O11" s="236">
        <f>IF($C11=0,0,ROUNDDOWN($C11/Espacement_Véhicules+1,0))</f>
        <v>0</v>
      </c>
      <c r="P11" s="350"/>
      <c r="Q11" s="350"/>
      <c r="R11" s="350"/>
      <c r="S11" s="350"/>
      <c r="T11" s="350"/>
      <c r="U11" s="350"/>
      <c r="V11" s="350"/>
      <c r="W11" s="350"/>
      <c r="X11" s="350"/>
      <c r="Y11" s="350"/>
      <c r="Z11" s="350"/>
      <c r="AA11" s="350"/>
      <c r="AB11" s="350"/>
      <c r="AC11" s="350"/>
      <c r="AD11" s="350"/>
      <c r="AE11" s="350"/>
      <c r="AF11" s="350"/>
      <c r="AG11" s="350"/>
      <c r="AH11" s="350"/>
      <c r="AI11" s="350"/>
      <c r="AJ11" s="356">
        <f t="shared" si="0"/>
        <v>0</v>
      </c>
      <c r="AK11" s="356">
        <f t="shared" si="10"/>
        <v>0</v>
      </c>
      <c r="AL11" s="356">
        <f t="shared" si="14"/>
        <v>0</v>
      </c>
      <c r="AM11" s="356">
        <f t="shared" si="18"/>
        <v>0</v>
      </c>
      <c r="AN11" s="356">
        <f t="shared" ref="AN11:AN31" si="22">IF($C11=0,0,IF(AN10+$F11*(N11-N10)*Remplissage_du_brin_montant/100+$H11&gt;=Durée_maximale_d_évacuation,Durée_maximale_d_évacuation,IF(AN10+$F11*(N11-N10)*Remplissage_du_brin_montant/100+$G11+$F12*(N12-N11)*Remplissage_du_brin_montant/100+$H12&gt;=Durée_maximale_d_évacuation,AN10+$F11*(N11-N10)*Remplissage_du_brin_montant/100+$H11,AN10+$F11*(N11-N10)*Remplissage_du_brin_montant/100+$G11)))</f>
        <v>0</v>
      </c>
      <c r="AO11" s="356">
        <f>IF($C11=0,0,IF($E11+$F11*O11*Remplissage_du_brin_montant/100+$G11+($F12-$F11)*O12*Remplissage_du_brin_montant/100+$H12&gt;=Durée_maximale_d_évacuation,$E11+$F11*O11*Remplissage_du_brin_montant/100+$H11,$E11+$F11*O11*Remplissage_du_brin_montant/100+$G11))</f>
        <v>0</v>
      </c>
      <c r="AP11" s="357"/>
      <c r="AQ11" s="357"/>
      <c r="AR11" s="357"/>
      <c r="AS11" s="357"/>
      <c r="AT11" s="357"/>
      <c r="AU11" s="357"/>
      <c r="AV11" s="357"/>
      <c r="AW11" s="357"/>
      <c r="AX11" s="357"/>
      <c r="AY11" s="357"/>
      <c r="AZ11" s="357"/>
      <c r="BA11" s="357"/>
      <c r="BB11" s="357"/>
      <c r="BC11" s="357"/>
      <c r="BD11" s="357"/>
      <c r="BE11" s="357"/>
      <c r="BF11" s="357"/>
      <c r="BG11" s="357"/>
      <c r="BH11" s="357"/>
      <c r="BI11" s="357"/>
      <c r="BJ11" s="224">
        <f t="shared" si="1"/>
        <v>0</v>
      </c>
      <c r="BK11" s="224">
        <f t="shared" si="11"/>
        <v>0</v>
      </c>
      <c r="BL11" s="224">
        <f t="shared" si="15"/>
        <v>0</v>
      </c>
      <c r="BM11" s="224">
        <f t="shared" si="19"/>
        <v>0</v>
      </c>
      <c r="BN11" s="224">
        <f t="shared" ref="BN11:BN31" si="23">IF(OR(BM11=1,BN10=0),0,IF(N11=0,0,IF(N11&lt;NMaxSiègeEquipe*(1+(100-Remplissage_du_brin_montant)*0.005)+1,IF(AN11&lt;Durée_maximale_d_évacuation,1,0),0)))</f>
        <v>0</v>
      </c>
      <c r="BO11" s="224">
        <f>IF(SUM(BJ11:BN11)&gt;0,0,IF(O11=0,0,IF(O11&lt;NMaxSiègeEquipe*(1+(100-Remplissage_du_brin_montant)*0.005)+1,IF(AO11&lt;Durée_maximale_d_évacuation,1,0),0)))</f>
        <v>0</v>
      </c>
      <c r="BP11" s="225"/>
      <c r="BQ11" s="225"/>
      <c r="BR11" s="225"/>
      <c r="BS11" s="225"/>
      <c r="BT11" s="225"/>
      <c r="BU11" s="225"/>
      <c r="BV11" s="225"/>
      <c r="BW11" s="225"/>
      <c r="BX11" s="225"/>
      <c r="BY11" s="225"/>
      <c r="BZ11" s="225"/>
      <c r="CA11" s="225"/>
      <c r="CB11" s="225"/>
      <c r="CC11" s="225"/>
      <c r="CD11" s="225"/>
      <c r="CE11" s="225"/>
      <c r="CF11" s="225"/>
      <c r="CG11" s="225"/>
      <c r="CH11" s="225"/>
      <c r="CI11" s="225"/>
      <c r="CJ11" s="332">
        <f t="shared" si="2"/>
        <v>0</v>
      </c>
      <c r="CK11" s="236">
        <f t="shared" si="3"/>
        <v>0</v>
      </c>
      <c r="CL11" s="238">
        <f t="shared" si="4"/>
        <v>0</v>
      </c>
      <c r="CM11" s="224">
        <f>IF(Remplissage_du_brin_montant=0,0,IF(5&gt;NBPylône,"",IF(SUM(BJ11:BN11)=1,CM10,CM10+1)))</f>
        <v>0</v>
      </c>
      <c r="CN11" s="17"/>
      <c r="CO11" s="236">
        <f>IF(C11=0,0,IF(ROUNDDOWN(SUM($C$6:C11)/Espacement_Véhicules+1,0)&gt;NMaxSiègeEquipe*(1+(100-Remplissage_du_brin_descendant)*0.005),NMaxSiègeEquipe*(1+(100-Remplissage_du_brin_descendant)*0.005) +1,ROUNDDOWN(SUM($C$6:C11)/Espacement_Véhicules+1,0)))</f>
        <v>0</v>
      </c>
      <c r="CP11" s="236">
        <f>IF($C11=0,0,IF(ROUNDDOWN(SUM($C$7:C11)/Espacement_Véhicules+1,0)&gt;NMaxSiègeEquipe*(1+(100-Remplissage_du_brin_descendant)*0.005),NMaxSiègeEquipe*(1+(100-Remplissage_du_brin_descendant)*0.005) +1,ROUNDDOWN(SUM($C$7:C11)/Espacement_Véhicules+1,0)))</f>
        <v>0</v>
      </c>
      <c r="CQ11" s="236">
        <f>IF($C11=0,0,IF(ROUNDDOWN(SUM($C$8:C11)/Espacement_Véhicules+1,0)&gt;NMaxSiègeEquipe*(1+(100-Remplissage_du_brin_descendant)*0.005),NMaxSiègeEquipe*(1+(100-Remplissage_du_brin_descendant)*0.005) +1,ROUNDDOWN(SUM($C$8:C11)/Espacement_Véhicules+1,0)))</f>
        <v>0</v>
      </c>
      <c r="CR11" s="236">
        <f>IF($C11=0,0,IF(ROUNDDOWN(SUM($C$9:C11)/Espacement_Véhicules+1,0)&gt;NMaxSiègeEquipe*(1+(100-Remplissage_du_brin_descendant)*0.005),NMaxSiègeEquipe*(1+(100-Remplissage_du_brin_descendant)*0.005) +1,ROUNDDOWN(SUM($C$9:C11)/Espacement_Véhicules+1,0)))</f>
        <v>0</v>
      </c>
      <c r="CS11" s="236">
        <f>IF($C11=0,0,IF(ROUNDDOWN(SUM($C$10:C11)/Espacement_Véhicules+1,0)&gt;NMaxSiègeEquipe*(1+(100-Remplissage_du_brin_descendant)*0.005),NMaxSiègeEquipe*(1+(100-Remplissage_du_brin_descendant)*0.005) +1,ROUNDDOWN(SUM($C$10:C11)/Espacement_Véhicules+1,0)))</f>
        <v>0</v>
      </c>
      <c r="CT11" s="236">
        <f>IF($C11=0,0,ROUNDDOWN($C11/Espacement_Véhicules+1,0))</f>
        <v>0</v>
      </c>
      <c r="CU11" s="350"/>
      <c r="CV11" s="350"/>
      <c r="CW11" s="350"/>
      <c r="CX11" s="350"/>
      <c r="CY11" s="350"/>
      <c r="CZ11" s="350"/>
      <c r="DA11" s="350"/>
      <c r="DB11" s="350"/>
      <c r="DC11" s="350"/>
      <c r="DD11" s="350"/>
      <c r="DE11" s="350"/>
      <c r="DF11" s="350"/>
      <c r="DG11" s="350"/>
      <c r="DH11" s="350"/>
      <c r="DI11" s="350"/>
      <c r="DJ11" s="350"/>
      <c r="DK11" s="350"/>
      <c r="DL11" s="350"/>
      <c r="DM11" s="350"/>
      <c r="DN11" s="350"/>
      <c r="DO11" s="356">
        <f t="shared" si="5"/>
        <v>0</v>
      </c>
      <c r="DP11" s="356">
        <f t="shared" si="12"/>
        <v>0</v>
      </c>
      <c r="DQ11" s="356">
        <f t="shared" si="16"/>
        <v>0</v>
      </c>
      <c r="DR11" s="356">
        <f t="shared" si="20"/>
        <v>0</v>
      </c>
      <c r="DS11" s="356">
        <f t="shared" ref="DS11:DS31" si="24">IF($C11=0,0,IF(DS10+$F11*(CS11-CS10)*Remplissage_du_brin_descendant/100+$H11&gt;=Durée_maximale_d_évacuation,Durée_maximale_d_évacuation,IF(DS10+$F11*(CS11-CS10)*Remplissage_du_brin_descendant/100+$G11+$F12*(CS12-CS11)*Remplissage_du_brin_descendant/100+$H12&gt;=Durée_maximale_d_évacuation,DS10+$F11*(CS11-CS10)*Remplissage_du_brin_descendant/100+$H11,DS10+$F11*(CS11-CS10)*Remplissage_du_brin_descendant/100+$G11)))</f>
        <v>0</v>
      </c>
      <c r="DT11" s="356">
        <f>IF($C11=0,0,IF($E11+$F11*CT11*Remplissage_du_brin_descendant/100+$G11+($F12-$F11)*CT12*Remplissage_du_brin_descendant/100+$H12&gt;=Durée_maximale_d_évacuation,$E11+$F11*CT11*Remplissage_du_brin_descendant/100+$H11,$E11+$F11*CT11*Remplissage_du_brin_descendant/100+$G11))</f>
        <v>0</v>
      </c>
      <c r="DU11" s="357"/>
      <c r="DV11" s="357"/>
      <c r="DW11" s="357"/>
      <c r="DX11" s="357"/>
      <c r="DY11" s="357"/>
      <c r="DZ11" s="357"/>
      <c r="EA11" s="357"/>
      <c r="EB11" s="357"/>
      <c r="EC11" s="357"/>
      <c r="ED11" s="357"/>
      <c r="EE11" s="357"/>
      <c r="EF11" s="357"/>
      <c r="EG11" s="357"/>
      <c r="EH11" s="357"/>
      <c r="EI11" s="357"/>
      <c r="EJ11" s="357"/>
      <c r="EK11" s="357"/>
      <c r="EL11" s="357"/>
      <c r="EM11" s="357"/>
      <c r="EN11" s="357"/>
      <c r="EO11" s="224">
        <f t="shared" si="6"/>
        <v>0</v>
      </c>
      <c r="EP11" s="224">
        <f t="shared" si="13"/>
        <v>0</v>
      </c>
      <c r="EQ11" s="224">
        <f t="shared" si="17"/>
        <v>0</v>
      </c>
      <c r="ER11" s="224">
        <f t="shared" si="21"/>
        <v>0</v>
      </c>
      <c r="ES11" s="224">
        <f t="shared" ref="ES11:ES31" si="25">IF(OR(ER11=1,ES10=0),0,IF(CS11=0,0,IF(CS11&lt;NMaxSiègeEquipe*(1+(100-Remplissage_du_brin_descendant)*0.005)+1,IF(DS11&lt;Durée_maximale_d_évacuation,1,0),0)))</f>
        <v>0</v>
      </c>
      <c r="ET11" s="224">
        <f>IF(SUM(EO11:ES11)&gt;0,0,IF(CT11=0,0,IF(CT11&lt;NMaxSiègeEquipe*(1+(100-Remplissage_du_brin_descendant)*0.005)+1,IF(DT11&lt;Durée_maximale_d_évacuation,1,0),0)))</f>
        <v>0</v>
      </c>
      <c r="EU11" s="225"/>
      <c r="EV11" s="225"/>
      <c r="EW11" s="225"/>
      <c r="EX11" s="225"/>
      <c r="EY11" s="225"/>
      <c r="EZ11" s="225"/>
      <c r="FA11" s="225"/>
      <c r="FB11" s="225"/>
      <c r="FC11" s="225"/>
      <c r="FD11" s="225"/>
      <c r="FE11" s="225"/>
      <c r="FF11" s="225"/>
      <c r="FG11" s="225"/>
      <c r="FH11" s="225"/>
      <c r="FI11" s="225"/>
      <c r="FJ11" s="225"/>
      <c r="FK11" s="225"/>
      <c r="FL11" s="225"/>
      <c r="FM11" s="225"/>
      <c r="FN11" s="225"/>
      <c r="FO11" s="332">
        <f t="shared" si="7"/>
        <v>0</v>
      </c>
      <c r="FP11" s="236">
        <f t="shared" si="8"/>
        <v>0</v>
      </c>
      <c r="FQ11" s="238">
        <f t="shared" si="9"/>
        <v>0</v>
      </c>
      <c r="FR11" s="224">
        <f>IF(Remplissage_du_brin_descendant=0,0,IF(5&gt;NBPylône,"",IF(SUM(EO11:ES11)=1,FR10,FR10+1)))</f>
        <v>0</v>
      </c>
    </row>
    <row r="12" spans="1:174" x14ac:dyDescent="0.2">
      <c r="A12" s="62" t="str">
        <f>'     2-DL     '!C14</f>
        <v/>
      </c>
      <c r="B12" s="65" t="str">
        <f>'     2-DL     '!D14</f>
        <v/>
      </c>
      <c r="C12" s="63">
        <f>IF(B12="",0,'     2-DL     '!E14)</f>
        <v>0</v>
      </c>
      <c r="D12" s="66"/>
      <c r="E12" s="4">
        <f>IF(C12=0,0,'     2-DL     '!F14)</f>
        <v>0</v>
      </c>
      <c r="F12" s="4">
        <f>IF(C12=0,0,IF(S_TempsEvacuationVehicule=1,A_TempsEvacuationVéhicule,'     2-DL     '!H14))</f>
        <v>0</v>
      </c>
      <c r="G12" s="4">
        <f>IF(C12=0,0,IF(S_TempsAccèsPortéeSuivante=1,A_TempsAccèsPortéeSuivante,'     2-DL     '!J14))</f>
        <v>0</v>
      </c>
      <c r="H12" s="4">
        <f>IF(C12=0,0,'     2-DL     '!L14)</f>
        <v>0</v>
      </c>
      <c r="I12" s="66"/>
      <c r="J12" s="236">
        <f>IF($C12=0,0,IF(ROUNDDOWN(SUM($C$6:C12)/Espacement_Véhicules+1,0)&gt;NMaxSiègeEquipe*(1+(100-Remplissage_du_brin_montant)*0.005),NMaxSiègeEquipe*(1+(100-Remplissage_du_brin_montant)*0.005) +1,ROUNDDOWN(SUM($C$6:C12)/Espacement_Véhicules+1,0)))</f>
        <v>0</v>
      </c>
      <c r="K12" s="236">
        <f>IF($C12=0,0,IF(ROUNDDOWN(SUM($C$7:C12)/Espacement_Véhicules+1,0)&gt;NMaxSiègeEquipe*(1+(100-Remplissage_du_brin_montant)*0.005),NMaxSiègeEquipe*(1+(100-Remplissage_du_brin_montant)*0.005) +1,ROUNDDOWN(SUM($C$7:C12)/Espacement_Véhicules+1,0)))</f>
        <v>0</v>
      </c>
      <c r="L12" s="236">
        <f>IF($C12=0,0,IF(ROUNDDOWN(SUM($C$8:C12)/Espacement_Véhicules+1,0)&gt;NMaxSiègeEquipe*(1+(100-Remplissage_du_brin_montant)*0.005),NMaxSiègeEquipe*(1+(100-Remplissage_du_brin_montant)*0.005) +1,ROUNDDOWN(SUM($C$8:C12)/Espacement_Véhicules+1,0)))</f>
        <v>0</v>
      </c>
      <c r="M12" s="236">
        <f>IF($C12=0,0,IF(ROUNDDOWN(SUM($C$9:C12)/Espacement_Véhicules+1,0)&gt;NMaxSiègeEquipe*(1+(100-Remplissage_du_brin_montant)*0.005),NMaxSiègeEquipe*(1+(100-Remplissage_du_brin_montant)*0.005) +1,ROUNDDOWN(SUM($C$9:C12)/Espacement_Véhicules+1,0)))</f>
        <v>0</v>
      </c>
      <c r="N12" s="236">
        <f>IF($C12=0,0,IF(ROUNDDOWN(SUM($C10:$C12)/Espacement_Véhicules+1,0)&gt;NMaxSiègeEquipe*(1+(100-Remplissage_du_brin_montant)*0.005),NMaxSiègeEquipe +1,ROUNDDOWN(SUM($C10:$C12)/Espacement_Véhicules+1,0)))</f>
        <v>0</v>
      </c>
      <c r="O12" s="236">
        <f>IF($C12=0,0,IF(ROUNDDOWN(SUM($C11:C12)/Espacement_Véhicules+1,0)&gt;NMaxSiègeEquipe*(1+(100-Remplissage_du_brin_montant)*0.005),NMaxSiègeEquipe*(1+(100-Remplissage_du_brin_montant)*0.005) +1,ROUNDDOWN(SUM($C$11:C12)/Espacement_Véhicules+1,0)))</f>
        <v>0</v>
      </c>
      <c r="P12" s="236">
        <f>IF($C12=0,0,ROUNDDOWN($C12/Espacement_Véhicules+1,0))</f>
        <v>0</v>
      </c>
      <c r="Q12" s="350"/>
      <c r="R12" s="350"/>
      <c r="S12" s="350"/>
      <c r="T12" s="350"/>
      <c r="U12" s="350"/>
      <c r="V12" s="350"/>
      <c r="W12" s="350"/>
      <c r="X12" s="350"/>
      <c r="Y12" s="350"/>
      <c r="Z12" s="350"/>
      <c r="AA12" s="350"/>
      <c r="AB12" s="350"/>
      <c r="AC12" s="350"/>
      <c r="AD12" s="350"/>
      <c r="AE12" s="350"/>
      <c r="AF12" s="350"/>
      <c r="AG12" s="350"/>
      <c r="AH12" s="350"/>
      <c r="AI12" s="350"/>
      <c r="AJ12" s="356">
        <f t="shared" si="0"/>
        <v>0</v>
      </c>
      <c r="AK12" s="356">
        <f t="shared" si="10"/>
        <v>0</v>
      </c>
      <c r="AL12" s="356">
        <f t="shared" si="14"/>
        <v>0</v>
      </c>
      <c r="AM12" s="356">
        <f t="shared" si="18"/>
        <v>0</v>
      </c>
      <c r="AN12" s="356">
        <f t="shared" si="22"/>
        <v>0</v>
      </c>
      <c r="AO12" s="356">
        <f t="shared" ref="AO12:AO31" si="26">IF($C12=0,0,IF(AO11+$F12*(O12-O11)*Remplissage_du_brin_montant/100+$H12&gt;=Durée_maximale_d_évacuation,Durée_maximale_d_évacuation,IF(AO11+$F12*(O12-O11)*Remplissage_du_brin_montant/100+$G12+$F13*(O13-O12)*Remplissage_du_brin_montant/100+$H13&gt;=Durée_maximale_d_évacuation,AO11+$F12*(O12-O11)*Remplissage_du_brin_montant/100+$H12,AO11+$F12*(O12-O11)*Remplissage_du_brin_montant/100+$G12)))</f>
        <v>0</v>
      </c>
      <c r="AP12" s="356">
        <f>IF($C12=0,0,IF($E12+$F12*P12*Remplissage_du_brin_montant/100+$G12+($F13-$F12)*P13*Remplissage_du_brin_montant/100+$H13&gt;=Durée_maximale_d_évacuation,$E12+$F12*P12*Remplissage_du_brin_montant/100+$H12,$E12+$F12*P12*Remplissage_du_brin_montant/100+$G12))</f>
        <v>0</v>
      </c>
      <c r="AQ12" s="357"/>
      <c r="AR12" s="357"/>
      <c r="AS12" s="357"/>
      <c r="AT12" s="357"/>
      <c r="AU12" s="357"/>
      <c r="AV12" s="357"/>
      <c r="AW12" s="357"/>
      <c r="AX12" s="357"/>
      <c r="AY12" s="357"/>
      <c r="AZ12" s="357"/>
      <c r="BA12" s="357"/>
      <c r="BB12" s="357"/>
      <c r="BC12" s="357"/>
      <c r="BD12" s="357"/>
      <c r="BE12" s="357"/>
      <c r="BF12" s="357"/>
      <c r="BG12" s="357"/>
      <c r="BH12" s="357"/>
      <c r="BI12" s="357"/>
      <c r="BJ12" s="224">
        <f t="shared" si="1"/>
        <v>0</v>
      </c>
      <c r="BK12" s="224">
        <f t="shared" si="11"/>
        <v>0</v>
      </c>
      <c r="BL12" s="224">
        <f t="shared" si="15"/>
        <v>0</v>
      </c>
      <c r="BM12" s="224">
        <f t="shared" si="19"/>
        <v>0</v>
      </c>
      <c r="BN12" s="224">
        <f t="shared" si="23"/>
        <v>0</v>
      </c>
      <c r="BO12" s="224">
        <f t="shared" ref="BO12:BO31" si="27">IF(OR(BN12=1,BO11=0),0,IF(O12=0,0,IF(O12&lt;NMaxSiègeEquipe*(1+(100-Remplissage_du_brin_montant)*0.005)+1,IF(AO12&lt;Durée_maximale_d_évacuation,1,0),0)))</f>
        <v>0</v>
      </c>
      <c r="BP12" s="224">
        <f>IF(SUM(BJ12:BO12)&gt;0,0,IF(P12=0,0,IF(P12&lt;NMaxSiègeEquipe*(1+(100-Remplissage_du_brin_montant)*0.005)+1,IF(AP12&lt;Durée_maximale_d_évacuation,1,0),0)))</f>
        <v>0</v>
      </c>
      <c r="BQ12" s="225"/>
      <c r="BR12" s="225"/>
      <c r="BS12" s="225"/>
      <c r="BT12" s="225"/>
      <c r="BU12" s="225"/>
      <c r="BV12" s="225"/>
      <c r="BW12" s="225"/>
      <c r="BX12" s="225"/>
      <c r="BY12" s="225"/>
      <c r="BZ12" s="225"/>
      <c r="CA12" s="225"/>
      <c r="CB12" s="225"/>
      <c r="CC12" s="225"/>
      <c r="CD12" s="225"/>
      <c r="CE12" s="225"/>
      <c r="CF12" s="225"/>
      <c r="CG12" s="225"/>
      <c r="CH12" s="225"/>
      <c r="CI12" s="225"/>
      <c r="CJ12" s="332">
        <f t="shared" si="2"/>
        <v>0</v>
      </c>
      <c r="CK12" s="236">
        <f t="shared" si="3"/>
        <v>0</v>
      </c>
      <c r="CL12" s="238">
        <f t="shared" si="4"/>
        <v>0</v>
      </c>
      <c r="CM12" s="224">
        <f>IF(Remplissage_du_brin_montant=0,0,IF(6&gt;NBPylône,"",IF(SUM(BJ12:BO12)=1,CM11,CM11+1)))</f>
        <v>0</v>
      </c>
      <c r="CN12" s="17"/>
      <c r="CO12" s="236">
        <f>IF(C12=0,0,IF(ROUNDDOWN(SUM($C$6:C12)/Espacement_Véhicules+1,0)&gt;NMaxSiègeEquipe*(1+(100-Remplissage_du_brin_descendant)*0.005),NMaxSiègeEquipe*(1+(100-Remplissage_du_brin_descendant)*0.005) +1,ROUNDDOWN(SUM($C$6:C12)/Espacement_Véhicules+1,0)))</f>
        <v>0</v>
      </c>
      <c r="CP12" s="236">
        <f>IF($C12=0,0,IF(ROUNDDOWN(SUM($C$7:C12)/Espacement_Véhicules+1,0)&gt;NMaxSiègeEquipe*(1+(100-Remplissage_du_brin_descendant)*0.005),NMaxSiègeEquipe*(1+(100-Remplissage_du_brin_descendant)*0.005) +1,ROUNDDOWN(SUM($C$7:C12)/Espacement_Véhicules+1,0)))</f>
        <v>0</v>
      </c>
      <c r="CQ12" s="236">
        <f>IF($C12=0,0,IF(ROUNDDOWN(SUM($C$8:C12)/Espacement_Véhicules+1,0)&gt;NMaxSiègeEquipe*(1+(100-Remplissage_du_brin_descendant)*0.005),NMaxSiègeEquipe*(1+(100-Remplissage_du_brin_descendant)*0.005) +1,ROUNDDOWN(SUM($C$8:C12)/Espacement_Véhicules+1,0)))</f>
        <v>0</v>
      </c>
      <c r="CR12" s="236">
        <f>IF($C12=0,0,IF(ROUNDDOWN(SUM($C$9:C12)/Espacement_Véhicules+1,0)&gt;NMaxSiègeEquipe*(1+(100-Remplissage_du_brin_descendant)*0.005),NMaxSiègeEquipe*(1+(100-Remplissage_du_brin_descendant)*0.005) +1,ROUNDDOWN(SUM($C$9:C12)/Espacement_Véhicules+1,0)))</f>
        <v>0</v>
      </c>
      <c r="CS12" s="236">
        <f>IF($C12=0,0,IF(ROUNDDOWN(SUM($C$10:C12)/Espacement_Véhicules+1,0)&gt;NMaxSiègeEquipe*(1+(100-Remplissage_du_brin_descendant)*0.005),NMaxSiègeEquipe*(1+(100-Remplissage_du_brin_descendant)*0.005) +1,ROUNDDOWN(SUM($C$10:C12)/Espacement_Véhicules+1,0)))</f>
        <v>0</v>
      </c>
      <c r="CT12" s="236">
        <f>IF($C12=0,0,IF(ROUNDDOWN(SUM($C$11:C12)/Espacement_Véhicules+1,0)&gt;NMaxSiègeEquipe*(1+(100-Remplissage_du_brin_descendant)*0.005),NMaxSiègeEquipe*(1+(100-Remplissage_du_brin_descendant)*0.005) +1,ROUNDDOWN(SUM($C$11:C12)/Espacement_Véhicules+1,0)))</f>
        <v>0</v>
      </c>
      <c r="CU12" s="236">
        <f>IF($C12=0,0,ROUNDDOWN($C12/Espacement_Véhicules+1,0))</f>
        <v>0</v>
      </c>
      <c r="CV12" s="350"/>
      <c r="CW12" s="350"/>
      <c r="CX12" s="350"/>
      <c r="CY12" s="350"/>
      <c r="CZ12" s="350"/>
      <c r="DA12" s="350"/>
      <c r="DB12" s="350"/>
      <c r="DC12" s="350"/>
      <c r="DD12" s="350"/>
      <c r="DE12" s="350"/>
      <c r="DF12" s="350"/>
      <c r="DG12" s="350"/>
      <c r="DH12" s="350"/>
      <c r="DI12" s="350"/>
      <c r="DJ12" s="350"/>
      <c r="DK12" s="350"/>
      <c r="DL12" s="350"/>
      <c r="DM12" s="350"/>
      <c r="DN12" s="350"/>
      <c r="DO12" s="356">
        <f t="shared" si="5"/>
        <v>0</v>
      </c>
      <c r="DP12" s="356">
        <f t="shared" si="12"/>
        <v>0</v>
      </c>
      <c r="DQ12" s="356">
        <f t="shared" si="16"/>
        <v>0</v>
      </c>
      <c r="DR12" s="356">
        <f t="shared" si="20"/>
        <v>0</v>
      </c>
      <c r="DS12" s="356">
        <f t="shared" si="24"/>
        <v>0</v>
      </c>
      <c r="DT12" s="356">
        <f t="shared" ref="DT12:DT31" si="28">IF($C12=0,0,IF(DT11+$F12*(CT12-CT11)*Remplissage_du_brin_descendant/100+$H12&gt;=Durée_maximale_d_évacuation,Durée_maximale_d_évacuation,IF(DT11+$F12*(CT12-CT11)*Remplissage_du_brin_descendant/100+$G12+$F13*(CT13-CT12)*Remplissage_du_brin_descendant/100+$H13&gt;=Durée_maximale_d_évacuation,DT11+$F12*(CT12-CT11)*Remplissage_du_brin_descendant/100+$H12,DT11+$F12*(CT12-CT11)*Remplissage_du_brin_descendant/100+$G12)))</f>
        <v>0</v>
      </c>
      <c r="DU12" s="356">
        <f>IF($C12=0,0,IF($E12+$F12*CU12*Remplissage_du_brin_descendant/100+$G12+($F13-$F12)*CU13*Remplissage_du_brin_descendant/100+$H13&gt;=Durée_maximale_d_évacuation,$E12+$F12*CU12*Remplissage_du_brin_descendant/100+$H12,$E12+$F12*CU12*Remplissage_du_brin_descendant/100+$G12))</f>
        <v>0</v>
      </c>
      <c r="DV12" s="357"/>
      <c r="DW12" s="357"/>
      <c r="DX12" s="357"/>
      <c r="DY12" s="357"/>
      <c r="DZ12" s="357"/>
      <c r="EA12" s="357"/>
      <c r="EB12" s="357"/>
      <c r="EC12" s="357"/>
      <c r="ED12" s="357"/>
      <c r="EE12" s="357"/>
      <c r="EF12" s="357"/>
      <c r="EG12" s="357"/>
      <c r="EH12" s="357"/>
      <c r="EI12" s="357"/>
      <c r="EJ12" s="357"/>
      <c r="EK12" s="357"/>
      <c r="EL12" s="357"/>
      <c r="EM12" s="357"/>
      <c r="EN12" s="357"/>
      <c r="EO12" s="224">
        <f t="shared" si="6"/>
        <v>0</v>
      </c>
      <c r="EP12" s="224">
        <f t="shared" si="13"/>
        <v>0</v>
      </c>
      <c r="EQ12" s="224">
        <f t="shared" si="17"/>
        <v>0</v>
      </c>
      <c r="ER12" s="224">
        <f t="shared" si="21"/>
        <v>0</v>
      </c>
      <c r="ES12" s="224">
        <f t="shared" si="25"/>
        <v>0</v>
      </c>
      <c r="ET12" s="224">
        <f t="shared" ref="ET12:ET31" si="29">IF(OR(ES12=1,ET11=0),0,IF(CT12=0,0,IF(CT12&lt;NMaxSiègeEquipe*(1+(100-Remplissage_du_brin_descendant)*0.005)+1,IF(DT12&lt;Durée_maximale_d_évacuation,1,0),0)))</f>
        <v>0</v>
      </c>
      <c r="EU12" s="224">
        <f>IF(SUM(EO12:ET12)&gt;0,0,IF(CU12=0,0,IF(CU12&lt;NMaxSiègeEquipe*(1+(100-Remplissage_du_brin_descendant)*0.005)+1,IF(DU12&lt;Durée_maximale_d_évacuation,1,0),0)))</f>
        <v>0</v>
      </c>
      <c r="EV12" s="225"/>
      <c r="EW12" s="225"/>
      <c r="EX12" s="225"/>
      <c r="EY12" s="225"/>
      <c r="EZ12" s="225"/>
      <c r="FA12" s="225"/>
      <c r="FB12" s="225"/>
      <c r="FC12" s="225"/>
      <c r="FD12" s="225"/>
      <c r="FE12" s="225"/>
      <c r="FF12" s="225"/>
      <c r="FG12" s="225"/>
      <c r="FH12" s="225"/>
      <c r="FI12" s="225"/>
      <c r="FJ12" s="225"/>
      <c r="FK12" s="225"/>
      <c r="FL12" s="225"/>
      <c r="FM12" s="225"/>
      <c r="FN12" s="225"/>
      <c r="FO12" s="332">
        <f t="shared" si="7"/>
        <v>0</v>
      </c>
      <c r="FP12" s="236">
        <f t="shared" si="8"/>
        <v>0</v>
      </c>
      <c r="FQ12" s="238">
        <f t="shared" si="9"/>
        <v>0</v>
      </c>
      <c r="FR12" s="224">
        <f>IF(Remplissage_du_brin_descendant=0,0,IF(6&gt;NBPylône,"",IF(SUM(EO12:ET12)=1,FR11,FR11+1)))</f>
        <v>0</v>
      </c>
    </row>
    <row r="13" spans="1:174" x14ac:dyDescent="0.2">
      <c r="A13" s="62" t="str">
        <f>'     2-DL     '!C15</f>
        <v/>
      </c>
      <c r="B13" s="65" t="str">
        <f>'     2-DL     '!D15</f>
        <v/>
      </c>
      <c r="C13" s="63">
        <f>IF(B13="",0,'     2-DL     '!E15)</f>
        <v>0</v>
      </c>
      <c r="D13" s="66"/>
      <c r="E13" s="4">
        <f>IF(C13=0,0,'     2-DL     '!F15)</f>
        <v>0</v>
      </c>
      <c r="F13" s="4">
        <f>IF(C13=0,0,IF(S_TempsEvacuationVehicule=1,A_TempsEvacuationVéhicule,'     2-DL     '!H15))</f>
        <v>0</v>
      </c>
      <c r="G13" s="4">
        <f>IF(C13=0,0,IF(S_TempsAccèsPortéeSuivante=1,A_TempsAccèsPortéeSuivante,'     2-DL     '!J15))</f>
        <v>0</v>
      </c>
      <c r="H13" s="4">
        <f>IF(C13=0,0,'     2-DL     '!L15)</f>
        <v>0</v>
      </c>
      <c r="I13" s="66"/>
      <c r="J13" s="236">
        <f>IF($C13=0,0,IF(ROUNDDOWN(SUM($C$6:C13)/Espacement_Véhicules+1,0)&gt;NMaxSiègeEquipe*(1+(100-Remplissage_du_brin_montant)*0.005),NMaxSiègeEquipe*(1+(100-Remplissage_du_brin_montant)*0.005) +1,ROUNDDOWN(SUM($C$6:C13)/Espacement_Véhicules+1,0)))</f>
        <v>0</v>
      </c>
      <c r="K13" s="236">
        <f>IF($C13=0,0,IF(ROUNDDOWN(SUM($C$7:C13)/Espacement_Véhicules+1,0)&gt;NMaxSiègeEquipe*(1+(100-Remplissage_du_brin_montant)*0.005),NMaxSiègeEquipe*(1+(100-Remplissage_du_brin_montant)*0.005) +1,ROUNDDOWN(SUM($C$7:C13)/Espacement_Véhicules+1,0)))</f>
        <v>0</v>
      </c>
      <c r="L13" s="236">
        <f>IF($C13=0,0,IF(ROUNDDOWN(SUM($C$8:C13)/Espacement_Véhicules+1,0)&gt;NMaxSiègeEquipe*(1+(100-Remplissage_du_brin_montant)*0.005),NMaxSiègeEquipe*(1+(100-Remplissage_du_brin_montant)*0.005) +1,ROUNDDOWN(SUM($C$8:C13)/Espacement_Véhicules+1,0)))</f>
        <v>0</v>
      </c>
      <c r="M13" s="236">
        <f>IF($C13=0,0,IF(ROUNDDOWN(SUM($C$9:C13)/Espacement_Véhicules+1,0)&gt;NMaxSiègeEquipe*(1+(100-Remplissage_du_brin_montant)*0.005),NMaxSiègeEquipe*(1+(100-Remplissage_du_brin_montant)*0.005) +1,ROUNDDOWN(SUM($C$9:C13)/Espacement_Véhicules+1,0)))</f>
        <v>0</v>
      </c>
      <c r="N13" s="236">
        <f>IF($C13=0,0,IF(ROUNDDOWN(SUM($C10:$C13)/Espacement_Véhicules+1,0)&gt;NMaxSiègeEquipe*(1+(100-Remplissage_du_brin_montant)*0.005),NMaxSiègeEquipe +1,ROUNDDOWN(SUM($C10:$C13)/Espacement_Véhicules+1,0)))</f>
        <v>0</v>
      </c>
      <c r="O13" s="236">
        <f>IF($C13=0,0,IF(ROUNDDOWN(SUM($C12:C13)/Espacement_Véhicules+1,0)&gt;NMaxSiègeEquipe*(1+(100-Remplissage_du_brin_montant)*0.005),NMaxSiègeEquipe*(1+(100-Remplissage_du_brin_montant)*0.005) +1,ROUNDDOWN(SUM($C$11:C13)/Espacement_Véhicules+1,0)))</f>
        <v>0</v>
      </c>
      <c r="P13" s="236">
        <f>IF($C13=0,0,IF(ROUNDDOWN(SUM($C$12:C13)/Espacement_Véhicules+1,0)&gt;NMaxSiègeEquipe*(1+(100-Remplissage_du_brin_montant)*0.005),NMaxSiègeEquipe*(1+(100-Remplissage_du_brin_montant)*0.005) +1,ROUNDDOWN(SUM($C$12:C13)/Espacement_Véhicules+1,0)))</f>
        <v>0</v>
      </c>
      <c r="Q13" s="236">
        <f>IF($C13=0,0,ROUNDDOWN($C13/Espacement_Véhicules+1,0))</f>
        <v>0</v>
      </c>
      <c r="R13" s="350"/>
      <c r="S13" s="350"/>
      <c r="T13" s="350"/>
      <c r="U13" s="350"/>
      <c r="V13" s="350"/>
      <c r="W13" s="350"/>
      <c r="X13" s="350"/>
      <c r="Y13" s="350"/>
      <c r="Z13" s="350"/>
      <c r="AA13" s="350"/>
      <c r="AB13" s="350"/>
      <c r="AC13" s="350"/>
      <c r="AD13" s="350"/>
      <c r="AE13" s="350"/>
      <c r="AF13" s="350"/>
      <c r="AG13" s="350"/>
      <c r="AH13" s="350"/>
      <c r="AI13" s="350"/>
      <c r="AJ13" s="356">
        <f t="shared" si="0"/>
        <v>0</v>
      </c>
      <c r="AK13" s="356">
        <f t="shared" si="10"/>
        <v>0</v>
      </c>
      <c r="AL13" s="356">
        <f t="shared" si="14"/>
        <v>0</v>
      </c>
      <c r="AM13" s="356">
        <f t="shared" si="18"/>
        <v>0</v>
      </c>
      <c r="AN13" s="356">
        <f t="shared" si="22"/>
        <v>0</v>
      </c>
      <c r="AO13" s="356">
        <f t="shared" si="26"/>
        <v>0</v>
      </c>
      <c r="AP13" s="356">
        <f t="shared" ref="AP13:AP31" si="30">IF($C13=0,0,IF(AP12+$F13*(P13-P12)*Remplissage_du_brin_montant/100+$H13&gt;=Durée_maximale_d_évacuation,Durée_maximale_d_évacuation,IF(AP12+$F13*(P13-P12)*Remplissage_du_brin_montant/100+$G13+$F14*(P14-P13)*Remplissage_du_brin_montant/100+$H14&gt;=Durée_maximale_d_évacuation,AP12+$F13*(P13-P12)*Remplissage_du_brin_montant/100+$H13,AP12+$F13*(P13-P12)*Remplissage_du_brin_montant/100+$G13)))</f>
        <v>0</v>
      </c>
      <c r="AQ13" s="356">
        <f>IF($C13=0,0,IF($E13+$F13*Q13*Remplissage_du_brin_montant/100+$G13+($F14-$F13)*Q14*Remplissage_du_brin_montant/100+$H14&gt;=Durée_maximale_d_évacuation,$E13+$F13*Q13*Remplissage_du_brin_montant/100+$H13,$E13+$F13*Q13*Remplissage_du_brin_montant/100+$G13))</f>
        <v>0</v>
      </c>
      <c r="AR13" s="357"/>
      <c r="AS13" s="357"/>
      <c r="AT13" s="357"/>
      <c r="AU13" s="357"/>
      <c r="AV13" s="357"/>
      <c r="AW13" s="357"/>
      <c r="AX13" s="357"/>
      <c r="AY13" s="357"/>
      <c r="AZ13" s="357"/>
      <c r="BA13" s="357"/>
      <c r="BB13" s="357"/>
      <c r="BC13" s="357"/>
      <c r="BD13" s="357"/>
      <c r="BE13" s="357"/>
      <c r="BF13" s="357"/>
      <c r="BG13" s="357"/>
      <c r="BH13" s="357"/>
      <c r="BI13" s="357"/>
      <c r="BJ13" s="224">
        <f t="shared" si="1"/>
        <v>0</v>
      </c>
      <c r="BK13" s="224">
        <f t="shared" si="11"/>
        <v>0</v>
      </c>
      <c r="BL13" s="224">
        <f t="shared" si="15"/>
        <v>0</v>
      </c>
      <c r="BM13" s="224">
        <f t="shared" si="19"/>
        <v>0</v>
      </c>
      <c r="BN13" s="224">
        <f t="shared" si="23"/>
        <v>0</v>
      </c>
      <c r="BO13" s="224">
        <f t="shared" si="27"/>
        <v>0</v>
      </c>
      <c r="BP13" s="224">
        <f t="shared" ref="BP13:BP31" si="31">IF(OR(BO13=1,BP12=0),0,IF(P13=0,0,IF(P13&lt;NMaxSiègeEquipe*(1+(100-Remplissage_du_brin_montant)*0.005)+1,IF(AP13&lt;Durée_maximale_d_évacuation,1,0),0)))</f>
        <v>0</v>
      </c>
      <c r="BQ13" s="224">
        <f>IF(SUM(BJ13:BP13)&gt;0,0,IF(Q13=0,0,IF(Q13&lt;NMaxSiègeEquipe*(1+(100-Remplissage_du_brin_montant)*0.005)+1,IF(AQ13&lt;Durée_maximale_d_évacuation,1,0),0)))</f>
        <v>0</v>
      </c>
      <c r="BR13" s="225"/>
      <c r="BS13" s="225"/>
      <c r="BT13" s="225"/>
      <c r="BU13" s="225"/>
      <c r="BV13" s="225"/>
      <c r="BW13" s="225"/>
      <c r="BX13" s="225"/>
      <c r="BY13" s="225"/>
      <c r="BZ13" s="225"/>
      <c r="CA13" s="225"/>
      <c r="CB13" s="225"/>
      <c r="CC13" s="225"/>
      <c r="CD13" s="225"/>
      <c r="CE13" s="225"/>
      <c r="CF13" s="225"/>
      <c r="CG13" s="225"/>
      <c r="CH13" s="225"/>
      <c r="CI13" s="225"/>
      <c r="CJ13" s="332">
        <f t="shared" si="2"/>
        <v>0</v>
      </c>
      <c r="CK13" s="236">
        <f t="shared" si="3"/>
        <v>0</v>
      </c>
      <c r="CL13" s="238">
        <f t="shared" si="4"/>
        <v>0</v>
      </c>
      <c r="CM13" s="224">
        <f>IF(Remplissage_du_brin_montant=0,0,IF(7&gt;NBPylône,"",IF(SUM(BJ13:BP13)=1,CM12,CM12+1)))</f>
        <v>0</v>
      </c>
      <c r="CN13" s="17"/>
      <c r="CO13" s="236">
        <f>IF(C13=0,0,IF(ROUNDDOWN(SUM($C$6:C13)/Espacement_Véhicules+1,0)&gt;NMaxSiègeEquipe*(1+(100-Remplissage_du_brin_descendant)*0.005),NMaxSiègeEquipe*(1+(100-Remplissage_du_brin_descendant)*0.005) +1,ROUNDDOWN(SUM($C$6:C13)/Espacement_Véhicules+1,0)))</f>
        <v>0</v>
      </c>
      <c r="CP13" s="236">
        <f>IF($C13=0,0,IF(ROUNDDOWN(SUM($C$7:C13)/Espacement_Véhicules+1,0)&gt;NMaxSiègeEquipe*(1+(100-Remplissage_du_brin_descendant)*0.005),NMaxSiègeEquipe*(1+(100-Remplissage_du_brin_descendant)*0.005) +1,ROUNDDOWN(SUM($C$7:C13)/Espacement_Véhicules+1,0)))</f>
        <v>0</v>
      </c>
      <c r="CQ13" s="236">
        <f>IF($C13=0,0,IF(ROUNDDOWN(SUM($C$8:C13)/Espacement_Véhicules+1,0)&gt;NMaxSiègeEquipe*(1+(100-Remplissage_du_brin_descendant)*0.005),NMaxSiègeEquipe*(1+(100-Remplissage_du_brin_descendant)*0.005) +1,ROUNDDOWN(SUM($C$8:C13)/Espacement_Véhicules+1,0)))</f>
        <v>0</v>
      </c>
      <c r="CR13" s="236">
        <f>IF($C13=0,0,IF(ROUNDDOWN(SUM($C$9:C13)/Espacement_Véhicules+1,0)&gt;NMaxSiègeEquipe*(1+(100-Remplissage_du_brin_descendant)*0.005),NMaxSiègeEquipe*(1+(100-Remplissage_du_brin_descendant)*0.005) +1,ROUNDDOWN(SUM($C$9:C13)/Espacement_Véhicules+1,0)))</f>
        <v>0</v>
      </c>
      <c r="CS13" s="236">
        <f>IF($C13=0,0,IF(ROUNDDOWN(SUM($C$10:C13)/Espacement_Véhicules+1,0)&gt;NMaxSiègeEquipe*(1+(100-Remplissage_du_brin_descendant)*0.005),NMaxSiègeEquipe*(1+(100-Remplissage_du_brin_descendant)*0.005) +1,ROUNDDOWN(SUM($C$10:C13)/Espacement_Véhicules+1,0)))</f>
        <v>0</v>
      </c>
      <c r="CT13" s="236">
        <f>IF($C13=0,0,IF(ROUNDDOWN(SUM($C$11:C13)/Espacement_Véhicules+1,0)&gt;NMaxSiègeEquipe*(1+(100-Remplissage_du_brin_descendant)*0.005),NMaxSiègeEquipe*(1+(100-Remplissage_du_brin_descendant)*0.005) +1,ROUNDDOWN(SUM($C$11:C13)/Espacement_Véhicules+1,0)))</f>
        <v>0</v>
      </c>
      <c r="CU13" s="236">
        <f>IF($C13=0,0,IF(ROUNDDOWN(SUM($C$12:C13)/Espacement_Véhicules+1,0)&gt;NMaxSiègeEquipe*(1+(100-Remplissage_du_brin_descendant)*0.005),NMaxSiègeEquipe*(1+(100-Remplissage_du_brin_descendant)*0.005) +1,ROUNDDOWN(SUM($C$12:C13)/Espacement_Véhicules+1,0)))</f>
        <v>0</v>
      </c>
      <c r="CV13" s="236">
        <f>IF($C13=0,0,ROUNDDOWN($C13/Espacement_Véhicules+1,0))</f>
        <v>0</v>
      </c>
      <c r="CW13" s="350"/>
      <c r="CX13" s="350"/>
      <c r="CY13" s="350"/>
      <c r="CZ13" s="350"/>
      <c r="DA13" s="350"/>
      <c r="DB13" s="350"/>
      <c r="DC13" s="350"/>
      <c r="DD13" s="350"/>
      <c r="DE13" s="350"/>
      <c r="DF13" s="350"/>
      <c r="DG13" s="350"/>
      <c r="DH13" s="350"/>
      <c r="DI13" s="350"/>
      <c r="DJ13" s="350"/>
      <c r="DK13" s="350"/>
      <c r="DL13" s="350"/>
      <c r="DM13" s="350"/>
      <c r="DN13" s="350"/>
      <c r="DO13" s="356">
        <f t="shared" si="5"/>
        <v>0</v>
      </c>
      <c r="DP13" s="356">
        <f t="shared" si="12"/>
        <v>0</v>
      </c>
      <c r="DQ13" s="356">
        <f t="shared" si="16"/>
        <v>0</v>
      </c>
      <c r="DR13" s="356">
        <f t="shared" si="20"/>
        <v>0</v>
      </c>
      <c r="DS13" s="356">
        <f t="shared" si="24"/>
        <v>0</v>
      </c>
      <c r="DT13" s="356">
        <f t="shared" si="28"/>
        <v>0</v>
      </c>
      <c r="DU13" s="356">
        <f t="shared" ref="DU13:DU31" si="32">IF($C13=0,0,IF(DU12+$F13*(CU13-CU12)*Remplissage_du_brin_descendant/100+$H13&gt;=Durée_maximale_d_évacuation,Durée_maximale_d_évacuation,IF(DU12+$F13*(CU13-CU12)*Remplissage_du_brin_descendant/100+$G13+$F14*(CU14-CU13)*Remplissage_du_brin_descendant/100+$H14&gt;=Durée_maximale_d_évacuation,DU12+$F13*(CU13-CU12)*Remplissage_du_brin_descendant/100+$H13,DU12+$F13*(CU13-CU12)*Remplissage_du_brin_descendant/100+$G13)))</f>
        <v>0</v>
      </c>
      <c r="DV13" s="356">
        <f>IF($C13=0,0,IF($E13+$F13*CV13*Remplissage_du_brin_descendant/100+$G13+($F14-$F13)*CV14*Remplissage_du_brin_descendant/100+$H14&gt;=Durée_maximale_d_évacuation,$E13+$F13*CV13*Remplissage_du_brin_descendant/100+$H13,$E13+$F13*CV13*Remplissage_du_brin_descendant/100+$G13))</f>
        <v>0</v>
      </c>
      <c r="DW13" s="357"/>
      <c r="DX13" s="357"/>
      <c r="DY13" s="357"/>
      <c r="DZ13" s="357"/>
      <c r="EA13" s="357"/>
      <c r="EB13" s="357"/>
      <c r="EC13" s="357"/>
      <c r="ED13" s="357"/>
      <c r="EE13" s="357"/>
      <c r="EF13" s="357"/>
      <c r="EG13" s="357"/>
      <c r="EH13" s="357"/>
      <c r="EI13" s="357"/>
      <c r="EJ13" s="357"/>
      <c r="EK13" s="357"/>
      <c r="EL13" s="357"/>
      <c r="EM13" s="357"/>
      <c r="EN13" s="357"/>
      <c r="EO13" s="224">
        <f t="shared" si="6"/>
        <v>0</v>
      </c>
      <c r="EP13" s="224">
        <f t="shared" si="13"/>
        <v>0</v>
      </c>
      <c r="EQ13" s="224">
        <f t="shared" si="17"/>
        <v>0</v>
      </c>
      <c r="ER13" s="224">
        <f t="shared" si="21"/>
        <v>0</v>
      </c>
      <c r="ES13" s="224">
        <f t="shared" si="25"/>
        <v>0</v>
      </c>
      <c r="ET13" s="224">
        <f t="shared" si="29"/>
        <v>0</v>
      </c>
      <c r="EU13" s="224">
        <f t="shared" ref="EU13:EU31" si="33">IF(OR(ET13=1,EU12=0),0,IF(CU13=0,0,IF(CU13&lt;NMaxSiègeEquipe*(1+(100-Remplissage_du_brin_descendant)*0.005)+1,IF(DU13&lt;Durée_maximale_d_évacuation,1,0),0)))</f>
        <v>0</v>
      </c>
      <c r="EV13" s="224">
        <f>IF(SUM(EO13:EU13)&gt;0,0,IF(CV13=0,0,IF(CV13&lt;NMaxSiègeEquipe*(1+(100-Remplissage_du_brin_descendant)*0.005)+1,IF(DV13&lt;Durée_maximale_d_évacuation,1,0),0)))</f>
        <v>0</v>
      </c>
      <c r="EW13" s="225"/>
      <c r="EX13" s="225"/>
      <c r="EY13" s="225"/>
      <c r="EZ13" s="225"/>
      <c r="FA13" s="225"/>
      <c r="FB13" s="225"/>
      <c r="FC13" s="225"/>
      <c r="FD13" s="225"/>
      <c r="FE13" s="225"/>
      <c r="FF13" s="225"/>
      <c r="FG13" s="225"/>
      <c r="FH13" s="225"/>
      <c r="FI13" s="225"/>
      <c r="FJ13" s="225"/>
      <c r="FK13" s="225"/>
      <c r="FL13" s="225"/>
      <c r="FM13" s="225"/>
      <c r="FN13" s="225"/>
      <c r="FO13" s="332">
        <f t="shared" si="7"/>
        <v>0</v>
      </c>
      <c r="FP13" s="236">
        <f t="shared" si="8"/>
        <v>0</v>
      </c>
      <c r="FQ13" s="238">
        <f t="shared" si="9"/>
        <v>0</v>
      </c>
      <c r="FR13" s="224">
        <f>IF(Remplissage_du_brin_descendant=0,0,IF(7&gt;NBPylône,"",IF(SUM(EO13:EU13)=1,FR12,FR12+1)))</f>
        <v>0</v>
      </c>
    </row>
    <row r="14" spans="1:174" x14ac:dyDescent="0.2">
      <c r="A14" s="62" t="str">
        <f>'     2-DL     '!C16</f>
        <v/>
      </c>
      <c r="B14" s="65" t="str">
        <f>'     2-DL     '!D16</f>
        <v/>
      </c>
      <c r="C14" s="63">
        <f>IF(B14="",0,'     2-DL     '!E16)</f>
        <v>0</v>
      </c>
      <c r="D14" s="66"/>
      <c r="E14" s="4">
        <f>IF(C14=0,0,'     2-DL     '!F16)</f>
        <v>0</v>
      </c>
      <c r="F14" s="4">
        <f>IF(C14=0,0,IF(S_TempsEvacuationVehicule=1,A_TempsEvacuationVéhicule,'     2-DL     '!H16))</f>
        <v>0</v>
      </c>
      <c r="G14" s="4">
        <f>IF(C14=0,0,IF(S_TempsAccèsPortéeSuivante=1,A_TempsAccèsPortéeSuivante,'     2-DL     '!J16))</f>
        <v>0</v>
      </c>
      <c r="H14" s="4">
        <f>IF(C14=0,0,'     2-DL     '!L16)</f>
        <v>0</v>
      </c>
      <c r="I14" s="66"/>
      <c r="J14" s="236">
        <f>IF($C14=0,0,IF(ROUNDDOWN(SUM($C$6:C14)/Espacement_Véhicules+1,0)&gt;NMaxSiègeEquipe*(1+(100-Remplissage_du_brin_montant)*0.005),NMaxSiègeEquipe*(1+(100-Remplissage_du_brin_montant)*0.005) +1,ROUNDDOWN(SUM($C$6:C14)/Espacement_Véhicules+1,0)))</f>
        <v>0</v>
      </c>
      <c r="K14" s="236">
        <f>IF($C14=0,0,IF(ROUNDDOWN(SUM($C$7:C14)/Espacement_Véhicules+1,0)&gt;NMaxSiègeEquipe*(1+(100-Remplissage_du_brin_montant)*0.005),NMaxSiègeEquipe*(1+(100-Remplissage_du_brin_montant)*0.005) +1,ROUNDDOWN(SUM($C$7:C14)/Espacement_Véhicules+1,0)))</f>
        <v>0</v>
      </c>
      <c r="L14" s="236">
        <f>IF($C14=0,0,IF(ROUNDDOWN(SUM($C$8:C14)/Espacement_Véhicules+1,0)&gt;NMaxSiègeEquipe*(1+(100-Remplissage_du_brin_montant)*0.005),NMaxSiègeEquipe*(1+(100-Remplissage_du_brin_montant)*0.005) +1,ROUNDDOWN(SUM($C$8:C14)/Espacement_Véhicules+1,0)))</f>
        <v>0</v>
      </c>
      <c r="M14" s="236">
        <f>IF($C14=0,0,IF(ROUNDDOWN(SUM($C$9:C14)/Espacement_Véhicules+1,0)&gt;NMaxSiègeEquipe*(1+(100-Remplissage_du_brin_montant)*0.005),NMaxSiègeEquipe*(1+(100-Remplissage_du_brin_montant)*0.005) +1,ROUNDDOWN(SUM($C$9:C14)/Espacement_Véhicules+1,0)))</f>
        <v>0</v>
      </c>
      <c r="N14" s="236">
        <f>IF($C14=0,0,IF(ROUNDDOWN(SUM($C10:$C14)/Espacement_Véhicules+1,0)&gt;NMaxSiègeEquipe*(1+(100-Remplissage_du_brin_montant)*0.005),NMaxSiègeEquipe +1,ROUNDDOWN(SUM($C10:$C14)/Espacement_Véhicules+1,0)))</f>
        <v>0</v>
      </c>
      <c r="O14" s="236">
        <f>IF($C14=0,0,IF(ROUNDDOWN(SUM($C13:C14)/Espacement_Véhicules+1,0)&gt;NMaxSiègeEquipe*(1+(100-Remplissage_du_brin_montant)*0.005),NMaxSiègeEquipe*(1+(100-Remplissage_du_brin_montant)*0.005) +1,ROUNDDOWN(SUM($C$11:C14)/Espacement_Véhicules+1,0)))</f>
        <v>0</v>
      </c>
      <c r="P14" s="236">
        <f>IF($C14=0,0,IF(ROUNDDOWN(SUM($C$12:C14)/Espacement_Véhicules+1,0)&gt;NMaxSiègeEquipe*(1+(100-Remplissage_du_brin_montant)*0.005),NMaxSiègeEquipe*(1+(100-Remplissage_du_brin_montant)*0.005) +1,ROUNDDOWN(SUM($C$12:C14)/Espacement_Véhicules+1,0)))</f>
        <v>0</v>
      </c>
      <c r="Q14" s="236">
        <f>IF($C14=0,0,IF(ROUNDDOWN(SUM($C$13:C14)/Espacement_Véhicules+1,0)&gt;NMaxSiègeEquipe*(1+(100-Remplissage_du_brin_montant)*0.005),NMaxSiègeEquipe*(1+(100-Remplissage_du_brin_montant)*0.005) +1,ROUNDDOWN(SUM($C$13:C14)/Espacement_Véhicules+1,0)))</f>
        <v>0</v>
      </c>
      <c r="R14" s="236">
        <f>IF($C14=0,0,ROUNDDOWN($C14/Espacement_Véhicules+1,0))</f>
        <v>0</v>
      </c>
      <c r="S14" s="350"/>
      <c r="T14" s="350"/>
      <c r="U14" s="350"/>
      <c r="V14" s="350"/>
      <c r="W14" s="350"/>
      <c r="X14" s="350"/>
      <c r="Y14" s="350"/>
      <c r="Z14" s="350"/>
      <c r="AA14" s="350"/>
      <c r="AB14" s="350"/>
      <c r="AC14" s="350"/>
      <c r="AD14" s="350"/>
      <c r="AE14" s="350"/>
      <c r="AF14" s="350"/>
      <c r="AG14" s="350"/>
      <c r="AH14" s="350"/>
      <c r="AI14" s="350"/>
      <c r="AJ14" s="356">
        <f t="shared" si="0"/>
        <v>0</v>
      </c>
      <c r="AK14" s="356">
        <f t="shared" si="10"/>
        <v>0</v>
      </c>
      <c r="AL14" s="356">
        <f t="shared" si="14"/>
        <v>0</v>
      </c>
      <c r="AM14" s="356">
        <f t="shared" si="18"/>
        <v>0</v>
      </c>
      <c r="AN14" s="356">
        <f t="shared" si="22"/>
        <v>0</v>
      </c>
      <c r="AO14" s="356">
        <f t="shared" si="26"/>
        <v>0</v>
      </c>
      <c r="AP14" s="356">
        <f t="shared" si="30"/>
        <v>0</v>
      </c>
      <c r="AQ14" s="356">
        <f t="shared" ref="AQ14:AQ31" si="34">IF($C14=0,0,IF(AQ13+$F14*(Q14-Q13)*Remplissage_du_brin_montant/100+$H14&gt;=Durée_maximale_d_évacuation,Durée_maximale_d_évacuation,IF(AQ13+$F14*(Q14-Q13)*Remplissage_du_brin_montant/100+$G14+$F15*(Q15-Q14)*Remplissage_du_brin_montant/100+$H15&gt;=Durée_maximale_d_évacuation,AQ13+$F14*(Q14-Q13)*Remplissage_du_brin_montant/100+$H14,AQ13+$F14*(Q14-Q13)*Remplissage_du_brin_montant/100+$G14)))</f>
        <v>0</v>
      </c>
      <c r="AR14" s="356">
        <f>IF($C14=0,0,IF($E14+$F14*R14*Remplissage_du_brin_montant/100+$G14+($F15-$F14)*R15*Remplissage_du_brin_montant/100+$H15&gt;=Durée_maximale_d_évacuation,$E14+$F14*R14*Remplissage_du_brin_montant/100+$H14,$E14+$F14*R14*Remplissage_du_brin_montant/100+$G14))</f>
        <v>0</v>
      </c>
      <c r="AS14" s="357"/>
      <c r="AT14" s="357"/>
      <c r="AU14" s="357"/>
      <c r="AV14" s="357"/>
      <c r="AW14" s="357"/>
      <c r="AX14" s="357"/>
      <c r="AY14" s="357"/>
      <c r="AZ14" s="357"/>
      <c r="BA14" s="357"/>
      <c r="BB14" s="357"/>
      <c r="BC14" s="357"/>
      <c r="BD14" s="357"/>
      <c r="BE14" s="357"/>
      <c r="BF14" s="357"/>
      <c r="BG14" s="357"/>
      <c r="BH14" s="357"/>
      <c r="BI14" s="357"/>
      <c r="BJ14" s="224">
        <f t="shared" si="1"/>
        <v>0</v>
      </c>
      <c r="BK14" s="224">
        <f t="shared" si="11"/>
        <v>0</v>
      </c>
      <c r="BL14" s="224">
        <f t="shared" si="15"/>
        <v>0</v>
      </c>
      <c r="BM14" s="224">
        <f t="shared" si="19"/>
        <v>0</v>
      </c>
      <c r="BN14" s="224">
        <f t="shared" si="23"/>
        <v>0</v>
      </c>
      <c r="BO14" s="224">
        <f t="shared" si="27"/>
        <v>0</v>
      </c>
      <c r="BP14" s="224">
        <f t="shared" si="31"/>
        <v>0</v>
      </c>
      <c r="BQ14" s="224">
        <f t="shared" ref="BQ14:BQ31" si="35">IF(OR(BP14=1,BQ13=0),0,IF(Q14=0,0,IF(Q14&lt;NMaxSiègeEquipe*(1+(100-Remplissage_du_brin_montant)*0.005)+1,IF(AQ14&lt;Durée_maximale_d_évacuation,1,0),0)))</f>
        <v>0</v>
      </c>
      <c r="BR14" s="224">
        <f>IF(SUM(BJ14:BQ14)&gt;0,0,IF(R14=0,0,IF(R14&lt;NMaxSiègeEquipe*(1+(100-Remplissage_du_brin_montant)*0.005)+1,IF(AR14&lt;Durée_maximale_d_évacuation,1,0),0)))</f>
        <v>0</v>
      </c>
      <c r="BS14" s="225"/>
      <c r="BT14" s="225"/>
      <c r="BU14" s="225"/>
      <c r="BV14" s="225"/>
      <c r="BW14" s="225"/>
      <c r="BX14" s="225"/>
      <c r="BY14" s="225"/>
      <c r="BZ14" s="225"/>
      <c r="CA14" s="225"/>
      <c r="CB14" s="225"/>
      <c r="CC14" s="225"/>
      <c r="CD14" s="225"/>
      <c r="CE14" s="225"/>
      <c r="CF14" s="225"/>
      <c r="CG14" s="225"/>
      <c r="CH14" s="225"/>
      <c r="CI14" s="225"/>
      <c r="CJ14" s="332">
        <f t="shared" si="2"/>
        <v>0</v>
      </c>
      <c r="CK14" s="236">
        <f t="shared" si="3"/>
        <v>0</v>
      </c>
      <c r="CL14" s="238">
        <f t="shared" si="4"/>
        <v>0</v>
      </c>
      <c r="CM14" s="224">
        <f>IF(Remplissage_du_brin_montant=0,0,IF(8&gt;NBPylône,"",IF(SUM(BJ14:BQ14)=1,CM13,CM13+1)))</f>
        <v>0</v>
      </c>
      <c r="CN14" s="17"/>
      <c r="CO14" s="236">
        <f>IF(C14=0,0,IF(ROUNDDOWN(SUM($C$6:C14)/Espacement_Véhicules+1,0)&gt;NMaxSiègeEquipe*(1+(100-Remplissage_du_brin_descendant)*0.005),NMaxSiègeEquipe*(1+(100-Remplissage_du_brin_descendant)*0.005) +1,ROUNDDOWN(SUM($C$6:C14)/Espacement_Véhicules+1,0)))</f>
        <v>0</v>
      </c>
      <c r="CP14" s="236">
        <f>IF($C14=0,0,IF(ROUNDDOWN(SUM($C$7:C14)/Espacement_Véhicules+1,0)&gt;NMaxSiègeEquipe*(1+(100-Remplissage_du_brin_descendant)*0.005),NMaxSiègeEquipe*(1+(100-Remplissage_du_brin_descendant)*0.005) +1,ROUNDDOWN(SUM($C$7:C14)/Espacement_Véhicules+1,0)))</f>
        <v>0</v>
      </c>
      <c r="CQ14" s="236">
        <f>IF($C14=0,0,IF(ROUNDDOWN(SUM($C$8:C14)/Espacement_Véhicules+1,0)&gt;NMaxSiègeEquipe*(1+(100-Remplissage_du_brin_descendant)*0.005),NMaxSiègeEquipe*(1+(100-Remplissage_du_brin_descendant)*0.005) +1,ROUNDDOWN(SUM($C$8:C14)/Espacement_Véhicules+1,0)))</f>
        <v>0</v>
      </c>
      <c r="CR14" s="236">
        <f>IF($C14=0,0,IF(ROUNDDOWN(SUM($C$9:C14)/Espacement_Véhicules+1,0)&gt;NMaxSiègeEquipe*(1+(100-Remplissage_du_brin_descendant)*0.005),NMaxSiègeEquipe*(1+(100-Remplissage_du_brin_descendant)*0.005) +1,ROUNDDOWN(SUM($C$9:C14)/Espacement_Véhicules+1,0)))</f>
        <v>0</v>
      </c>
      <c r="CS14" s="236">
        <f>IF($C14=0,0,IF(ROUNDDOWN(SUM($C$10:C14)/Espacement_Véhicules+1,0)&gt;NMaxSiègeEquipe*(1+(100-Remplissage_du_brin_descendant)*0.005),NMaxSiègeEquipe*(1+(100-Remplissage_du_brin_descendant)*0.005) +1,ROUNDDOWN(SUM($C$10:C14)/Espacement_Véhicules+1,0)))</f>
        <v>0</v>
      </c>
      <c r="CT14" s="236">
        <f>IF($C14=0,0,IF(ROUNDDOWN(SUM($C$11:C14)/Espacement_Véhicules+1,0)&gt;NMaxSiègeEquipe*(1+(100-Remplissage_du_brin_descendant)*0.005),NMaxSiègeEquipe*(1+(100-Remplissage_du_brin_descendant)*0.005) +1,ROUNDDOWN(SUM($C$11:C14)/Espacement_Véhicules+1,0)))</f>
        <v>0</v>
      </c>
      <c r="CU14" s="236">
        <f>IF($C14=0,0,IF(ROUNDDOWN(SUM($C$12:C14)/Espacement_Véhicules+1,0)&gt;NMaxSiègeEquipe*(1+(100-Remplissage_du_brin_descendant)*0.005),NMaxSiègeEquipe*(1+(100-Remplissage_du_brin_descendant)*0.005) +1,ROUNDDOWN(SUM($C$12:C14)/Espacement_Véhicules+1,0)))</f>
        <v>0</v>
      </c>
      <c r="CV14" s="236">
        <f>IF($C14=0,0,IF(ROUNDDOWN(SUM($C$13:C14)/Espacement_Véhicules+1,0)&gt;NMaxSiègeEquipe*(1+(100-Remplissage_du_brin_descendant)*0.005),NMaxSiègeEquipe*(1+(100-Remplissage_du_brin_descendant)*0.005) +1,ROUNDDOWN(SUM($C$13:C14)/Espacement_Véhicules+1,0)))</f>
        <v>0</v>
      </c>
      <c r="CW14" s="236">
        <f>IF($C14=0,0,ROUNDDOWN($C14/Espacement_Véhicules+1,0))</f>
        <v>0</v>
      </c>
      <c r="CX14" s="350"/>
      <c r="CY14" s="350"/>
      <c r="CZ14" s="350"/>
      <c r="DA14" s="350"/>
      <c r="DB14" s="350"/>
      <c r="DC14" s="350"/>
      <c r="DD14" s="350"/>
      <c r="DE14" s="350"/>
      <c r="DF14" s="350"/>
      <c r="DG14" s="350"/>
      <c r="DH14" s="350"/>
      <c r="DI14" s="350"/>
      <c r="DJ14" s="350"/>
      <c r="DK14" s="350"/>
      <c r="DL14" s="350"/>
      <c r="DM14" s="350"/>
      <c r="DN14" s="350"/>
      <c r="DO14" s="356">
        <f t="shared" si="5"/>
        <v>0</v>
      </c>
      <c r="DP14" s="356">
        <f t="shared" si="12"/>
        <v>0</v>
      </c>
      <c r="DQ14" s="356">
        <f t="shared" si="16"/>
        <v>0</v>
      </c>
      <c r="DR14" s="356">
        <f t="shared" si="20"/>
        <v>0</v>
      </c>
      <c r="DS14" s="356">
        <f t="shared" si="24"/>
        <v>0</v>
      </c>
      <c r="DT14" s="356">
        <f t="shared" si="28"/>
        <v>0</v>
      </c>
      <c r="DU14" s="356">
        <f t="shared" si="32"/>
        <v>0</v>
      </c>
      <c r="DV14" s="356">
        <f t="shared" ref="DV14:DV31" si="36">IF($C14=0,0,IF(DV13+$F14*(CV14-CV13)*Remplissage_du_brin_descendant/100+$H14&gt;=Durée_maximale_d_évacuation,Durée_maximale_d_évacuation,IF(DV13+$F14*(CV14-CV13)*Remplissage_du_brin_descendant/100+$G14+$F15*(CV15-CV14)*Remplissage_du_brin_descendant/100+$H15&gt;=Durée_maximale_d_évacuation,DV13+$F14*(CV14-CV13)*Remplissage_du_brin_descendant/100+$H14,DV13+$F14*(CV14-CV13)*Remplissage_du_brin_descendant/100+$G14)))</f>
        <v>0</v>
      </c>
      <c r="DW14" s="356">
        <f>IF($C14=0,0,IF($E14+$F14*CW14*Remplissage_du_brin_descendant/100+$G14+($F15-$F14)*CW15*Remplissage_du_brin_descendant/100+$H15&gt;=Durée_maximale_d_évacuation,$E14+$F14*CW14*Remplissage_du_brin_descendant/100+$H14,$E14+$F14*CW14*Remplissage_du_brin_descendant/100+$G14))</f>
        <v>0</v>
      </c>
      <c r="DX14" s="357"/>
      <c r="DY14" s="357"/>
      <c r="DZ14" s="357"/>
      <c r="EA14" s="357"/>
      <c r="EB14" s="357"/>
      <c r="EC14" s="357"/>
      <c r="ED14" s="357"/>
      <c r="EE14" s="357"/>
      <c r="EF14" s="357"/>
      <c r="EG14" s="357"/>
      <c r="EH14" s="357"/>
      <c r="EI14" s="357"/>
      <c r="EJ14" s="357"/>
      <c r="EK14" s="357"/>
      <c r="EL14" s="357"/>
      <c r="EM14" s="357"/>
      <c r="EN14" s="357"/>
      <c r="EO14" s="224">
        <f t="shared" si="6"/>
        <v>0</v>
      </c>
      <c r="EP14" s="224">
        <f t="shared" si="13"/>
        <v>0</v>
      </c>
      <c r="EQ14" s="224">
        <f t="shared" si="17"/>
        <v>0</v>
      </c>
      <c r="ER14" s="224">
        <f t="shared" si="21"/>
        <v>0</v>
      </c>
      <c r="ES14" s="224">
        <f t="shared" si="25"/>
        <v>0</v>
      </c>
      <c r="ET14" s="224">
        <f t="shared" si="29"/>
        <v>0</v>
      </c>
      <c r="EU14" s="224">
        <f t="shared" si="33"/>
        <v>0</v>
      </c>
      <c r="EV14" s="224">
        <f t="shared" ref="EV14:EV31" si="37">IF(OR(EU14=1,EV13=0),0,IF(CV14=0,0,IF(CV14&lt;NMaxSiègeEquipe*(1+(100-Remplissage_du_brin_descendant)*0.005)+1,IF(DV14&lt;Durée_maximale_d_évacuation,1,0),0)))</f>
        <v>0</v>
      </c>
      <c r="EW14" s="224">
        <f>IF(SUM(EO14:EV14)&gt;0,0,IF(CW14=0,0,IF(CW14&lt;NMaxSiègeEquipe*(1+(100-Remplissage_du_brin_descendant)*0.005)+1,IF(DW14&lt;Durée_maximale_d_évacuation,1,0),0)))</f>
        <v>0</v>
      </c>
      <c r="EX14" s="225"/>
      <c r="EY14" s="225"/>
      <c r="EZ14" s="225"/>
      <c r="FA14" s="225"/>
      <c r="FB14" s="225"/>
      <c r="FC14" s="225"/>
      <c r="FD14" s="225"/>
      <c r="FE14" s="225"/>
      <c r="FF14" s="225"/>
      <c r="FG14" s="225"/>
      <c r="FH14" s="225"/>
      <c r="FI14" s="225"/>
      <c r="FJ14" s="225"/>
      <c r="FK14" s="225"/>
      <c r="FL14" s="225"/>
      <c r="FM14" s="225"/>
      <c r="FN14" s="225"/>
      <c r="FO14" s="332">
        <f t="shared" si="7"/>
        <v>0</v>
      </c>
      <c r="FP14" s="236">
        <f t="shared" si="8"/>
        <v>0</v>
      </c>
      <c r="FQ14" s="238">
        <f t="shared" si="9"/>
        <v>0</v>
      </c>
      <c r="FR14" s="224">
        <f>IF(Remplissage_du_brin_descendant=0,0,IF(8&gt;NBPylône,"",IF(SUM(EO14:EV14)=1,FR13,FR13+1)))</f>
        <v>0</v>
      </c>
    </row>
    <row r="15" spans="1:174" x14ac:dyDescent="0.2">
      <c r="A15" s="62" t="str">
        <f>'     2-DL     '!C17</f>
        <v/>
      </c>
      <c r="B15" s="65" t="str">
        <f>'     2-DL     '!D17</f>
        <v/>
      </c>
      <c r="C15" s="63">
        <f>IF(B15="",0,'     2-DL     '!E17)</f>
        <v>0</v>
      </c>
      <c r="D15" s="66"/>
      <c r="E15" s="4">
        <f>IF(C15=0,0,'     2-DL     '!F17)</f>
        <v>0</v>
      </c>
      <c r="F15" s="4">
        <f>IF(C15=0,0,IF(S_TempsEvacuationVehicule=1,A_TempsEvacuationVéhicule,'     2-DL     '!H17))</f>
        <v>0</v>
      </c>
      <c r="G15" s="4">
        <f>IF(C15=0,0,IF(S_TempsAccèsPortéeSuivante=1,A_TempsAccèsPortéeSuivante,'     2-DL     '!J17))</f>
        <v>0</v>
      </c>
      <c r="H15" s="4">
        <f>IF(C15=0,0,'     2-DL     '!L17)</f>
        <v>0</v>
      </c>
      <c r="I15" s="66"/>
      <c r="J15" s="236">
        <f>IF($C15=0,0,IF(ROUNDDOWN(SUM($C$6:C15)/Espacement_Véhicules+1,0)&gt;NMaxSiègeEquipe*(1+(100-Remplissage_du_brin_montant)*0.005),NMaxSiègeEquipe*(1+(100-Remplissage_du_brin_montant)*0.005) +1,ROUNDDOWN(SUM($C$6:C15)/Espacement_Véhicules+1,0)))</f>
        <v>0</v>
      </c>
      <c r="K15" s="236">
        <f>IF($C15=0,0,IF(ROUNDDOWN(SUM($C$7:C15)/Espacement_Véhicules+1,0)&gt;NMaxSiègeEquipe*(1+(100-Remplissage_du_brin_montant)*0.005),NMaxSiègeEquipe*(1+(100-Remplissage_du_brin_montant)*0.005) +1,ROUNDDOWN(SUM($C$7:C15)/Espacement_Véhicules+1,0)))</f>
        <v>0</v>
      </c>
      <c r="L15" s="236">
        <f>IF($C15=0,0,IF(ROUNDDOWN(SUM($C$8:C15)/Espacement_Véhicules+1,0)&gt;NMaxSiègeEquipe*(1+(100-Remplissage_du_brin_montant)*0.005),NMaxSiègeEquipe*(1+(100-Remplissage_du_brin_montant)*0.005) +1,ROUNDDOWN(SUM($C$8:C15)/Espacement_Véhicules+1,0)))</f>
        <v>0</v>
      </c>
      <c r="M15" s="236">
        <f>IF($C15=0,0,IF(ROUNDDOWN(SUM($C$9:C15)/Espacement_Véhicules+1,0)&gt;NMaxSiègeEquipe*(1+(100-Remplissage_du_brin_montant)*0.005),NMaxSiègeEquipe*(1+(100-Remplissage_du_brin_montant)*0.005) +1,ROUNDDOWN(SUM($C$9:C15)/Espacement_Véhicules+1,0)))</f>
        <v>0</v>
      </c>
      <c r="N15" s="236">
        <f>IF($C15=0,0,IF(ROUNDDOWN(SUM($C10:$C15)/Espacement_Véhicules+1,0)&gt;NMaxSiègeEquipe*(1+(100-Remplissage_du_brin_montant)*0.005),NMaxSiègeEquipe +1,ROUNDDOWN(SUM($C10:$C15)/Espacement_Véhicules+1,0)))</f>
        <v>0</v>
      </c>
      <c r="O15" s="236">
        <f>IF($C15=0,0,IF(ROUNDDOWN(SUM($C14:C15)/Espacement_Véhicules+1,0)&gt;NMaxSiègeEquipe*(1+(100-Remplissage_du_brin_montant)*0.005),NMaxSiègeEquipe*(1+(100-Remplissage_du_brin_montant)*0.005) +1,ROUNDDOWN(SUM($C$11:C15)/Espacement_Véhicules+1,0)))</f>
        <v>0</v>
      </c>
      <c r="P15" s="236">
        <f>IF($C15=0,0,IF(ROUNDDOWN(SUM($C$12:C15)/Espacement_Véhicules+1,0)&gt;NMaxSiègeEquipe*(1+(100-Remplissage_du_brin_montant)*0.005),NMaxSiègeEquipe*(1+(100-Remplissage_du_brin_montant)*0.005) +1,ROUNDDOWN(SUM($C$12:C15)/Espacement_Véhicules+1,0)))</f>
        <v>0</v>
      </c>
      <c r="Q15" s="236">
        <f>IF($C15=0,0,IF(ROUNDDOWN(SUM($C$13:C15)/Espacement_Véhicules+1,0)&gt;NMaxSiègeEquipe*(1+(100-Remplissage_du_brin_montant)*0.005),NMaxSiègeEquipe*(1+(100-Remplissage_du_brin_montant)*0.005) +1,ROUNDDOWN(SUM($C$13:C15)/Espacement_Véhicules+1,0)))</f>
        <v>0</v>
      </c>
      <c r="R15" s="236">
        <f>IF($C15=0,0,IF(ROUNDDOWN(SUM($C$14:C15)/Espacement_Véhicules+1,0)&gt;NMaxSiègeEquipe*(1+(100-Remplissage_du_brin_montant)*0.005),NMaxSiègeEquipe*(1+(100-Remplissage_du_brin_montant)*0.005) +1,ROUNDDOWN(SUM($C$14:C15)/Espacement_Véhicules+1,0)))</f>
        <v>0</v>
      </c>
      <c r="S15" s="236">
        <f>IF($C15=0,0,ROUNDDOWN($C15/Espacement_Véhicules+1,0))</f>
        <v>0</v>
      </c>
      <c r="T15" s="350"/>
      <c r="U15" s="350"/>
      <c r="V15" s="350"/>
      <c r="W15" s="350"/>
      <c r="X15" s="350"/>
      <c r="Y15" s="350"/>
      <c r="Z15" s="350"/>
      <c r="AA15" s="350"/>
      <c r="AB15" s="350"/>
      <c r="AC15" s="350"/>
      <c r="AD15" s="350"/>
      <c r="AE15" s="350"/>
      <c r="AF15" s="350"/>
      <c r="AG15" s="350"/>
      <c r="AH15" s="350"/>
      <c r="AI15" s="350"/>
      <c r="AJ15" s="356">
        <f t="shared" si="0"/>
        <v>0</v>
      </c>
      <c r="AK15" s="356">
        <f t="shared" si="10"/>
        <v>0</v>
      </c>
      <c r="AL15" s="356">
        <f t="shared" si="14"/>
        <v>0</v>
      </c>
      <c r="AM15" s="356">
        <f t="shared" si="18"/>
        <v>0</v>
      </c>
      <c r="AN15" s="356">
        <f t="shared" si="22"/>
        <v>0</v>
      </c>
      <c r="AO15" s="356">
        <f t="shared" si="26"/>
        <v>0</v>
      </c>
      <c r="AP15" s="356">
        <f t="shared" si="30"/>
        <v>0</v>
      </c>
      <c r="AQ15" s="356">
        <f t="shared" si="34"/>
        <v>0</v>
      </c>
      <c r="AR15" s="356">
        <f t="shared" ref="AR15:AR31" si="38">IF($C15=0,0,IF(AR14+$F15*(R15-R14)*Remplissage_du_brin_montant/100+$H15&gt;=Durée_maximale_d_évacuation,Durée_maximale_d_évacuation,IF(AR14+$F15*(R15-R14)*Remplissage_du_brin_montant/100+$G15+$F16*(R16-R15)*Remplissage_du_brin_montant/100+$H16&gt;=Durée_maximale_d_évacuation,AR14+$F15*(R15-R14)*Remplissage_du_brin_montant/100+$H15,AR14+$F15*(R15-R14)*Remplissage_du_brin_montant/100+$G15)))</f>
        <v>0</v>
      </c>
      <c r="AS15" s="356">
        <f>IF($C15=0,0,IF($E15+$F15*S15*Remplissage_du_brin_montant/100+$G15+($F16-$F15)*S16*Remplissage_du_brin_montant/100+$H16&gt;=Durée_maximale_d_évacuation,$E15+$F15*S15*Remplissage_du_brin_montant/100+$H15,$E15+$F15*S15*Remplissage_du_brin_montant/100+$G15))</f>
        <v>0</v>
      </c>
      <c r="AT15" s="357"/>
      <c r="AU15" s="357"/>
      <c r="AV15" s="357"/>
      <c r="AW15" s="357"/>
      <c r="AX15" s="357"/>
      <c r="AY15" s="357"/>
      <c r="AZ15" s="357"/>
      <c r="BA15" s="357"/>
      <c r="BB15" s="357"/>
      <c r="BC15" s="357"/>
      <c r="BD15" s="357"/>
      <c r="BE15" s="357"/>
      <c r="BF15" s="357"/>
      <c r="BG15" s="357"/>
      <c r="BH15" s="357"/>
      <c r="BI15" s="357"/>
      <c r="BJ15" s="224">
        <f t="shared" si="1"/>
        <v>0</v>
      </c>
      <c r="BK15" s="224">
        <f t="shared" si="11"/>
        <v>0</v>
      </c>
      <c r="BL15" s="224">
        <f t="shared" si="15"/>
        <v>0</v>
      </c>
      <c r="BM15" s="224">
        <f t="shared" si="19"/>
        <v>0</v>
      </c>
      <c r="BN15" s="224">
        <f t="shared" si="23"/>
        <v>0</v>
      </c>
      <c r="BO15" s="224">
        <f t="shared" si="27"/>
        <v>0</v>
      </c>
      <c r="BP15" s="224">
        <f t="shared" si="31"/>
        <v>0</v>
      </c>
      <c r="BQ15" s="224">
        <f t="shared" si="35"/>
        <v>0</v>
      </c>
      <c r="BR15" s="224">
        <f t="shared" ref="BR15:BR31" si="39">IF(OR(BQ15=1,BR14=0),0,IF(R15=0,0,IF(R15&lt;NMaxSiègeEquipe*(1+(100-Remplissage_du_brin_montant)*0.005)+1,IF(AR15&lt;Durée_maximale_d_évacuation,1,0),0)))</f>
        <v>0</v>
      </c>
      <c r="BS15" s="224">
        <f>IF(SUM(BJ15:BR15)&gt;0,0,IF(S15=0,0,IF(S15&lt;NMaxSiègeEquipe*(1+(100-Remplissage_du_brin_montant)*0.005)+1,IF(AS15&lt;Durée_maximale_d_évacuation,1,0),0)))</f>
        <v>0</v>
      </c>
      <c r="BT15" s="225"/>
      <c r="BU15" s="225"/>
      <c r="BV15" s="225"/>
      <c r="BW15" s="225"/>
      <c r="BX15" s="225"/>
      <c r="BY15" s="225"/>
      <c r="BZ15" s="225"/>
      <c r="CA15" s="225"/>
      <c r="CB15" s="225"/>
      <c r="CC15" s="225"/>
      <c r="CD15" s="225"/>
      <c r="CE15" s="225"/>
      <c r="CF15" s="225"/>
      <c r="CG15" s="225"/>
      <c r="CH15" s="225"/>
      <c r="CI15" s="225"/>
      <c r="CJ15" s="332">
        <f t="shared" si="2"/>
        <v>0</v>
      </c>
      <c r="CK15" s="236">
        <f t="shared" si="3"/>
        <v>0</v>
      </c>
      <c r="CL15" s="238">
        <f t="shared" si="4"/>
        <v>0</v>
      </c>
      <c r="CM15" s="224">
        <f>IF(Remplissage_du_brin_montant=0,0,IF(9&gt;NBPylône,"",IF(SUM(BJ15:BR15)=1,CM14,CM14+1)))</f>
        <v>0</v>
      </c>
      <c r="CN15" s="17"/>
      <c r="CO15" s="236">
        <f>IF(C15=0,0,IF(ROUNDDOWN(SUM($C$6:C15)/Espacement_Véhicules+1,0)&gt;NMaxSiègeEquipe*(1+(100-Remplissage_du_brin_descendant)*0.005),NMaxSiègeEquipe*(1+(100-Remplissage_du_brin_descendant)*0.005) +1,ROUNDDOWN(SUM($C$6:C15)/Espacement_Véhicules+1,0)))</f>
        <v>0</v>
      </c>
      <c r="CP15" s="236">
        <f>IF($C15=0,0,IF(ROUNDDOWN(SUM($C$7:C15)/Espacement_Véhicules+1,0)&gt;NMaxSiègeEquipe*(1+(100-Remplissage_du_brin_descendant)*0.005),NMaxSiègeEquipe*(1+(100-Remplissage_du_brin_descendant)*0.005) +1,ROUNDDOWN(SUM($C$7:C15)/Espacement_Véhicules+1,0)))</f>
        <v>0</v>
      </c>
      <c r="CQ15" s="236">
        <f>IF($C15=0,0,IF(ROUNDDOWN(SUM($C$8:C15)/Espacement_Véhicules+1,0)&gt;NMaxSiègeEquipe*(1+(100-Remplissage_du_brin_descendant)*0.005),NMaxSiègeEquipe*(1+(100-Remplissage_du_brin_descendant)*0.005) +1,ROUNDDOWN(SUM($C$8:C15)/Espacement_Véhicules+1,0)))</f>
        <v>0</v>
      </c>
      <c r="CR15" s="236">
        <f>IF($C15=0,0,IF(ROUNDDOWN(SUM($C$9:C15)/Espacement_Véhicules+1,0)&gt;NMaxSiègeEquipe*(1+(100-Remplissage_du_brin_descendant)*0.005),NMaxSiègeEquipe*(1+(100-Remplissage_du_brin_descendant)*0.005) +1,ROUNDDOWN(SUM($C$9:C15)/Espacement_Véhicules+1,0)))</f>
        <v>0</v>
      </c>
      <c r="CS15" s="236">
        <f>IF($C15=0,0,IF(ROUNDDOWN(SUM($C$10:C15)/Espacement_Véhicules+1,0)&gt;NMaxSiègeEquipe*(1+(100-Remplissage_du_brin_descendant)*0.005),NMaxSiègeEquipe*(1+(100-Remplissage_du_brin_descendant)*0.005) +1,ROUNDDOWN(SUM($C$10:C15)/Espacement_Véhicules+1,0)))</f>
        <v>0</v>
      </c>
      <c r="CT15" s="236">
        <f>IF($C15=0,0,IF(ROUNDDOWN(SUM($C$11:C15)/Espacement_Véhicules+1,0)&gt;NMaxSiègeEquipe*(1+(100-Remplissage_du_brin_descendant)*0.005),NMaxSiègeEquipe*(1+(100-Remplissage_du_brin_descendant)*0.005) +1,ROUNDDOWN(SUM($C$11:C15)/Espacement_Véhicules+1,0)))</f>
        <v>0</v>
      </c>
      <c r="CU15" s="236">
        <f>IF($C15=0,0,IF(ROUNDDOWN(SUM($C$12:C15)/Espacement_Véhicules+1,0)&gt;NMaxSiègeEquipe*(1+(100-Remplissage_du_brin_descendant)*0.005),NMaxSiègeEquipe*(1+(100-Remplissage_du_brin_descendant)*0.005) +1,ROUNDDOWN(SUM($C$12:C15)/Espacement_Véhicules+1,0)))</f>
        <v>0</v>
      </c>
      <c r="CV15" s="236">
        <f>IF($C15=0,0,IF(ROUNDDOWN(SUM($C$13:C15)/Espacement_Véhicules+1,0)&gt;NMaxSiègeEquipe*(1+(100-Remplissage_du_brin_descendant)*0.005),NMaxSiègeEquipe*(1+(100-Remplissage_du_brin_descendant)*0.005) +1,ROUNDDOWN(SUM($C$13:C15)/Espacement_Véhicules+1,0)))</f>
        <v>0</v>
      </c>
      <c r="CW15" s="236">
        <f>IF($C15=0,0,IF(ROUNDDOWN(SUM($C$14:C15)/Espacement_Véhicules+1,0)&gt;NMaxSiègeEquipe*(1+(100-Remplissage_du_brin_descendant)*0.005),NMaxSiègeEquipe*(1+(100-Remplissage_du_brin_descendant)*0.005) +1,ROUNDDOWN(SUM($C$14:C15)/Espacement_Véhicules+1,0)))</f>
        <v>0</v>
      </c>
      <c r="CX15" s="236">
        <f>IF($C15=0,0,ROUNDDOWN($C15/Espacement_Véhicules+1,0))</f>
        <v>0</v>
      </c>
      <c r="CY15" s="350"/>
      <c r="CZ15" s="350"/>
      <c r="DA15" s="350"/>
      <c r="DB15" s="350"/>
      <c r="DC15" s="350"/>
      <c r="DD15" s="350"/>
      <c r="DE15" s="350"/>
      <c r="DF15" s="350"/>
      <c r="DG15" s="350"/>
      <c r="DH15" s="350"/>
      <c r="DI15" s="350"/>
      <c r="DJ15" s="350"/>
      <c r="DK15" s="350"/>
      <c r="DL15" s="350"/>
      <c r="DM15" s="350"/>
      <c r="DN15" s="350"/>
      <c r="DO15" s="356">
        <f t="shared" si="5"/>
        <v>0</v>
      </c>
      <c r="DP15" s="356">
        <f t="shared" si="12"/>
        <v>0</v>
      </c>
      <c r="DQ15" s="356">
        <f t="shared" si="16"/>
        <v>0</v>
      </c>
      <c r="DR15" s="356">
        <f t="shared" si="20"/>
        <v>0</v>
      </c>
      <c r="DS15" s="356">
        <f t="shared" si="24"/>
        <v>0</v>
      </c>
      <c r="DT15" s="356">
        <f t="shared" si="28"/>
        <v>0</v>
      </c>
      <c r="DU15" s="356">
        <f t="shared" si="32"/>
        <v>0</v>
      </c>
      <c r="DV15" s="356">
        <f t="shared" si="36"/>
        <v>0</v>
      </c>
      <c r="DW15" s="356">
        <f t="shared" ref="DW15:DW31" si="40">IF($C15=0,0,IF(DW14+$F15*(CW15-CW14)*Remplissage_du_brin_descendant/100+$H15&gt;=Durée_maximale_d_évacuation,Durée_maximale_d_évacuation,IF(DW14+$F15*(CW15-CW14)*Remplissage_du_brin_descendant/100+$G15+$F16*(CW16-CW15)*Remplissage_du_brin_descendant/100+$H16&gt;=Durée_maximale_d_évacuation,DW14+$F15*(CW15-CW14)*Remplissage_du_brin_descendant/100+$H15,DW14+$F15*(CW15-CW14)*Remplissage_du_brin_descendant/100+$G15)))</f>
        <v>0</v>
      </c>
      <c r="DX15" s="356">
        <f>IF($C15=0,0,IF($E15+$F15*CX15*Remplissage_du_brin_descendant/100+$G15+($F16-$F15)*CX16*Remplissage_du_brin_descendant/100+$H16&gt;=Durée_maximale_d_évacuation,$E15+$F15*CX15*Remplissage_du_brin_descendant/100+$H15,$E15+$F15*CX15*Remplissage_du_brin_descendant/100+$G15))</f>
        <v>0</v>
      </c>
      <c r="DY15" s="357"/>
      <c r="DZ15" s="357"/>
      <c r="EA15" s="357"/>
      <c r="EB15" s="357"/>
      <c r="EC15" s="357"/>
      <c r="ED15" s="357"/>
      <c r="EE15" s="357"/>
      <c r="EF15" s="357"/>
      <c r="EG15" s="357"/>
      <c r="EH15" s="357"/>
      <c r="EI15" s="357"/>
      <c r="EJ15" s="357"/>
      <c r="EK15" s="357"/>
      <c r="EL15" s="357"/>
      <c r="EM15" s="357"/>
      <c r="EN15" s="357"/>
      <c r="EO15" s="224">
        <f t="shared" si="6"/>
        <v>0</v>
      </c>
      <c r="EP15" s="224">
        <f t="shared" si="13"/>
        <v>0</v>
      </c>
      <c r="EQ15" s="224">
        <f t="shared" si="17"/>
        <v>0</v>
      </c>
      <c r="ER15" s="224">
        <f t="shared" si="21"/>
        <v>0</v>
      </c>
      <c r="ES15" s="224">
        <f t="shared" si="25"/>
        <v>0</v>
      </c>
      <c r="ET15" s="224">
        <f t="shared" si="29"/>
        <v>0</v>
      </c>
      <c r="EU15" s="224">
        <f t="shared" si="33"/>
        <v>0</v>
      </c>
      <c r="EV15" s="224">
        <f t="shared" si="37"/>
        <v>0</v>
      </c>
      <c r="EW15" s="224">
        <f t="shared" ref="EW15:EW31" si="41">IF(OR(EV15=1,EW14=0),0,IF(CW15=0,0,IF(CW15&lt;NMaxSiègeEquipe*(1+(100-Remplissage_du_brin_descendant)*0.005)+1,IF(DW15&lt;Durée_maximale_d_évacuation,1,0),0)))</f>
        <v>0</v>
      </c>
      <c r="EX15" s="224">
        <f>IF(SUM(EO15:EW15)&gt;0,0,IF(CX15=0,0,IF(CX15&lt;NMaxSiègeEquipe*(1+(100-Remplissage_du_brin_descendant)*0.005)+1,IF(DX15&lt;Durée_maximale_d_évacuation,1,0),0)))</f>
        <v>0</v>
      </c>
      <c r="EY15" s="225"/>
      <c r="EZ15" s="225"/>
      <c r="FA15" s="225"/>
      <c r="FB15" s="225"/>
      <c r="FC15" s="225"/>
      <c r="FD15" s="225"/>
      <c r="FE15" s="225"/>
      <c r="FF15" s="225"/>
      <c r="FG15" s="225"/>
      <c r="FH15" s="225"/>
      <c r="FI15" s="225"/>
      <c r="FJ15" s="225"/>
      <c r="FK15" s="225"/>
      <c r="FL15" s="225"/>
      <c r="FM15" s="225"/>
      <c r="FN15" s="225"/>
      <c r="FO15" s="332">
        <f t="shared" si="7"/>
        <v>0</v>
      </c>
      <c r="FP15" s="236">
        <f t="shared" si="8"/>
        <v>0</v>
      </c>
      <c r="FQ15" s="238">
        <f t="shared" si="9"/>
        <v>0</v>
      </c>
      <c r="FR15" s="224">
        <f>IF(Remplissage_du_brin_descendant=0,0,IF(9&gt;NBPylône,"",IF(SUM(EO15:EW15)=1,FR14,FR14+1)))</f>
        <v>0</v>
      </c>
    </row>
    <row r="16" spans="1:174" x14ac:dyDescent="0.2">
      <c r="A16" s="62" t="str">
        <f>'     2-DL     '!C18</f>
        <v/>
      </c>
      <c r="B16" s="65" t="str">
        <f>'     2-DL     '!D18</f>
        <v/>
      </c>
      <c r="C16" s="63">
        <f>IF(B16="",0,'     2-DL     '!E18)</f>
        <v>0</v>
      </c>
      <c r="D16" s="66"/>
      <c r="E16" s="4">
        <f>IF(C16=0,0,'     2-DL     '!F18)</f>
        <v>0</v>
      </c>
      <c r="F16" s="4">
        <f>IF(C16=0,0,IF(S_TempsEvacuationVehicule=1,A_TempsEvacuationVéhicule,'     2-DL     '!H18))</f>
        <v>0</v>
      </c>
      <c r="G16" s="4">
        <f>IF(C16=0,0,IF(S_TempsAccèsPortéeSuivante=1,A_TempsAccèsPortéeSuivante,'     2-DL     '!J18))</f>
        <v>0</v>
      </c>
      <c r="H16" s="4">
        <f>IF(C16=0,0,'     2-DL     '!L18)</f>
        <v>0</v>
      </c>
      <c r="I16" s="66"/>
      <c r="J16" s="236">
        <f>IF($C16=0,0,IF(ROUNDDOWN(SUM($C$6:C16)/Espacement_Véhicules+1,0)&gt;NMaxSiègeEquipe*(1+(100-Remplissage_du_brin_montant)*0.005),NMaxSiègeEquipe*(1+(100-Remplissage_du_brin_montant)*0.005) +1,ROUNDDOWN(SUM($C$6:C16)/Espacement_Véhicules+1,0)))</f>
        <v>0</v>
      </c>
      <c r="K16" s="236">
        <f>IF($C16=0,0,IF(ROUNDDOWN(SUM($C$7:C16)/Espacement_Véhicules+1,0)&gt;NMaxSiègeEquipe*(1+(100-Remplissage_du_brin_montant)*0.005),NMaxSiègeEquipe*(1+(100-Remplissage_du_brin_montant)*0.005) +1,ROUNDDOWN(SUM($C$7:C16)/Espacement_Véhicules+1,0)))</f>
        <v>0</v>
      </c>
      <c r="L16" s="236">
        <f>IF($C16=0,0,IF(ROUNDDOWN(SUM($C$8:C16)/Espacement_Véhicules+1,0)&gt;NMaxSiègeEquipe*(1+(100-Remplissage_du_brin_montant)*0.005),NMaxSiègeEquipe*(1+(100-Remplissage_du_brin_montant)*0.005) +1,ROUNDDOWN(SUM($C$8:C16)/Espacement_Véhicules+1,0)))</f>
        <v>0</v>
      </c>
      <c r="M16" s="236">
        <f>IF($C16=0,0,IF(ROUNDDOWN(SUM($C$9:C16)/Espacement_Véhicules+1,0)&gt;NMaxSiègeEquipe*(1+(100-Remplissage_du_brin_montant)*0.005),NMaxSiègeEquipe*(1+(100-Remplissage_du_brin_montant)*0.005) +1,ROUNDDOWN(SUM($C$9:C16)/Espacement_Véhicules+1,0)))</f>
        <v>0</v>
      </c>
      <c r="N16" s="236">
        <f>IF($C16=0,0,IF(ROUNDDOWN(SUM($C10:$C16)/Espacement_Véhicules+1,0)&gt;NMaxSiègeEquipe*(1+(100-Remplissage_du_brin_montant)*0.005),NMaxSiègeEquipe +1,ROUNDDOWN(SUM($C10:$C16)/Espacement_Véhicules+1,0)))</f>
        <v>0</v>
      </c>
      <c r="O16" s="236">
        <f>IF($C16=0,0,IF(ROUNDDOWN(SUM($C15:C16)/Espacement_Véhicules+1,0)&gt;NMaxSiègeEquipe*(1+(100-Remplissage_du_brin_montant)*0.005),NMaxSiègeEquipe*(1+(100-Remplissage_du_brin_montant)*0.005) +1,ROUNDDOWN(SUM($C$11:C16)/Espacement_Véhicules+1,0)))</f>
        <v>0</v>
      </c>
      <c r="P16" s="236">
        <f>IF($C16=0,0,IF(ROUNDDOWN(SUM($C$12:C16)/Espacement_Véhicules+1,0)&gt;NMaxSiègeEquipe*(1+(100-Remplissage_du_brin_montant)*0.005),NMaxSiègeEquipe*(1+(100-Remplissage_du_brin_montant)*0.005) +1,ROUNDDOWN(SUM($C$12:C16)/Espacement_Véhicules+1,0)))</f>
        <v>0</v>
      </c>
      <c r="Q16" s="236">
        <f>IF($C16=0,0,IF(ROUNDDOWN(SUM($C$13:C16)/Espacement_Véhicules+1,0)&gt;NMaxSiègeEquipe*(1+(100-Remplissage_du_brin_montant)*0.005),NMaxSiègeEquipe*(1+(100-Remplissage_du_brin_montant)*0.005) +1,ROUNDDOWN(SUM($C$13:C16)/Espacement_Véhicules+1,0)))</f>
        <v>0</v>
      </c>
      <c r="R16" s="236">
        <f>IF($C16=0,0,IF(ROUNDDOWN(SUM($C$14:C16)/Espacement_Véhicules+1,0)&gt;NMaxSiègeEquipe*(1+(100-Remplissage_du_brin_montant)*0.005),NMaxSiègeEquipe*(1+(100-Remplissage_du_brin_montant)*0.005) +1,ROUNDDOWN(SUM($C$14:C16)/Espacement_Véhicules+1,0)))</f>
        <v>0</v>
      </c>
      <c r="S16" s="236">
        <f>IF($C16=0,0,IF(ROUNDDOWN(SUM($C$15:C16)/Espacement_Véhicules+1,0)&gt;NMaxSiègeEquipe*(1+(100-Remplissage_du_brin_montant)*0.005),NMaxSiègeEquipe*(1+(100-Remplissage_du_brin_montant)*0.005) +1,ROUNDDOWN(SUM($C$15:C16)/Espacement_Véhicules+1,0)))</f>
        <v>0</v>
      </c>
      <c r="T16" s="236">
        <f>IF($C16=0,0,ROUNDDOWN($C16/Espacement_Véhicules+1,0))</f>
        <v>0</v>
      </c>
      <c r="U16" s="350"/>
      <c r="V16" s="350"/>
      <c r="W16" s="350"/>
      <c r="X16" s="350"/>
      <c r="Y16" s="350"/>
      <c r="Z16" s="350"/>
      <c r="AA16" s="350"/>
      <c r="AB16" s="350"/>
      <c r="AC16" s="350"/>
      <c r="AD16" s="350"/>
      <c r="AE16" s="350"/>
      <c r="AF16" s="350"/>
      <c r="AG16" s="350"/>
      <c r="AH16" s="350"/>
      <c r="AI16" s="350"/>
      <c r="AJ16" s="356">
        <f t="shared" si="0"/>
        <v>0</v>
      </c>
      <c r="AK16" s="356">
        <f t="shared" si="10"/>
        <v>0</v>
      </c>
      <c r="AL16" s="356">
        <f t="shared" si="14"/>
        <v>0</v>
      </c>
      <c r="AM16" s="356">
        <f t="shared" si="18"/>
        <v>0</v>
      </c>
      <c r="AN16" s="356">
        <f t="shared" si="22"/>
        <v>0</v>
      </c>
      <c r="AO16" s="356">
        <f t="shared" si="26"/>
        <v>0</v>
      </c>
      <c r="AP16" s="356">
        <f t="shared" si="30"/>
        <v>0</v>
      </c>
      <c r="AQ16" s="356">
        <f t="shared" si="34"/>
        <v>0</v>
      </c>
      <c r="AR16" s="356">
        <f t="shared" si="38"/>
        <v>0</v>
      </c>
      <c r="AS16" s="356">
        <f t="shared" ref="AS16:AS31" si="42">IF($C16=0,0,IF(AS15+$F16*(S16-S15)*Remplissage_du_brin_montant/100+$H16&gt;=Durée_maximale_d_évacuation,Durée_maximale_d_évacuation,IF(AS15+$F16*(S16-S15)*Remplissage_du_brin_montant/100+$G16+$F17*(S17-S16)*Remplissage_du_brin_montant/100+$H17&gt;=Durée_maximale_d_évacuation,AS15+$F16*(S16-S15)*Remplissage_du_brin_montant/100+$H16,AS15+$F16*(S16-S15)*Remplissage_du_brin_montant/100+$G16)))</f>
        <v>0</v>
      </c>
      <c r="AT16" s="356">
        <f>IF($C16=0,0,IF($E16+$F16*T16*Remplissage_du_brin_montant/100+$G16+($F17-$F16)*T17*Remplissage_du_brin_montant/100+$H17&gt;=Durée_maximale_d_évacuation,$E16+$F16*T16*Remplissage_du_brin_montant/100+$H16,$E16+$F16*T16*Remplissage_du_brin_montant/100+$G16))</f>
        <v>0</v>
      </c>
      <c r="AU16" s="357"/>
      <c r="AV16" s="357"/>
      <c r="AW16" s="357"/>
      <c r="AX16" s="357"/>
      <c r="AY16" s="357"/>
      <c r="AZ16" s="357"/>
      <c r="BA16" s="357"/>
      <c r="BB16" s="357"/>
      <c r="BC16" s="357"/>
      <c r="BD16" s="357"/>
      <c r="BE16" s="357"/>
      <c r="BF16" s="357"/>
      <c r="BG16" s="357"/>
      <c r="BH16" s="357"/>
      <c r="BI16" s="357"/>
      <c r="BJ16" s="224">
        <f t="shared" si="1"/>
        <v>0</v>
      </c>
      <c r="BK16" s="224">
        <f t="shared" si="11"/>
        <v>0</v>
      </c>
      <c r="BL16" s="224">
        <f t="shared" si="15"/>
        <v>0</v>
      </c>
      <c r="BM16" s="224">
        <f t="shared" si="19"/>
        <v>0</v>
      </c>
      <c r="BN16" s="224">
        <f t="shared" si="23"/>
        <v>0</v>
      </c>
      <c r="BO16" s="224">
        <f t="shared" si="27"/>
        <v>0</v>
      </c>
      <c r="BP16" s="224">
        <f t="shared" si="31"/>
        <v>0</v>
      </c>
      <c r="BQ16" s="224">
        <f t="shared" si="35"/>
        <v>0</v>
      </c>
      <c r="BR16" s="224">
        <f t="shared" si="39"/>
        <v>0</v>
      </c>
      <c r="BS16" s="224">
        <f t="shared" ref="BS16:BS31" si="43">IF(OR(BR16=1,BS15=0),0,IF(S16=0,0,IF(S16&lt;NMaxSiègeEquipe*(1+(100-Remplissage_du_brin_montant)*0.005)+1,IF(AS16&lt;Durée_maximale_d_évacuation,1,0),0)))</f>
        <v>0</v>
      </c>
      <c r="BT16" s="224">
        <f>IF(SUM(BJ16:BS16)&gt;0,0,IF(T16=0,0,IF(T16&lt;NMaxSiègeEquipe*(1+(100-Remplissage_du_brin_montant)*0.005)+1,IF(AT16&lt;Durée_maximale_d_évacuation,1,0),0)))</f>
        <v>0</v>
      </c>
      <c r="BU16" s="225"/>
      <c r="BV16" s="225"/>
      <c r="BW16" s="225"/>
      <c r="BX16" s="225"/>
      <c r="BY16" s="225"/>
      <c r="BZ16" s="225"/>
      <c r="CA16" s="225"/>
      <c r="CB16" s="225"/>
      <c r="CC16" s="225"/>
      <c r="CD16" s="225"/>
      <c r="CE16" s="225"/>
      <c r="CF16" s="225"/>
      <c r="CG16" s="225"/>
      <c r="CH16" s="225"/>
      <c r="CI16" s="225"/>
      <c r="CJ16" s="332">
        <f t="shared" si="2"/>
        <v>0</v>
      </c>
      <c r="CK16" s="236">
        <f t="shared" si="3"/>
        <v>0</v>
      </c>
      <c r="CL16" s="238">
        <f t="shared" si="4"/>
        <v>0</v>
      </c>
      <c r="CM16" s="224">
        <f>IF(Remplissage_du_brin_montant=0,0,IF(10&gt;NBPylône,"",IF(SUM(BJ16:BS16)=1,CM15,CM15+1)))</f>
        <v>0</v>
      </c>
      <c r="CN16" s="17"/>
      <c r="CO16" s="236">
        <f>IF(C16=0,0,IF(ROUNDDOWN(SUM($C$6:C16)/Espacement_Véhicules+1,0)&gt;NMaxSiègeEquipe*(1+(100-Remplissage_du_brin_descendant)*0.005),NMaxSiègeEquipe*(1+(100-Remplissage_du_brin_descendant)*0.005) +1,ROUNDDOWN(SUM($C$6:C16)/Espacement_Véhicules+1,0)))</f>
        <v>0</v>
      </c>
      <c r="CP16" s="236">
        <f>IF($C16=0,0,IF(ROUNDDOWN(SUM($C$7:C16)/Espacement_Véhicules+1,0)&gt;NMaxSiègeEquipe*(1+(100-Remplissage_du_brin_descendant)*0.005),NMaxSiègeEquipe*(1+(100-Remplissage_du_brin_descendant)*0.005) +1,ROUNDDOWN(SUM($C$7:C16)/Espacement_Véhicules+1,0)))</f>
        <v>0</v>
      </c>
      <c r="CQ16" s="236">
        <f>IF($C16=0,0,IF(ROUNDDOWN(SUM($C$8:C16)/Espacement_Véhicules+1,0)&gt;NMaxSiègeEquipe*(1+(100-Remplissage_du_brin_descendant)*0.005),NMaxSiègeEquipe*(1+(100-Remplissage_du_brin_descendant)*0.005) +1,ROUNDDOWN(SUM($C$8:C16)/Espacement_Véhicules+1,0)))</f>
        <v>0</v>
      </c>
      <c r="CR16" s="236">
        <f>IF($C16=0,0,IF(ROUNDDOWN(SUM($C$9:C16)/Espacement_Véhicules+1,0)&gt;NMaxSiègeEquipe*(1+(100-Remplissage_du_brin_descendant)*0.005),NMaxSiègeEquipe*(1+(100-Remplissage_du_brin_descendant)*0.005) +1,ROUNDDOWN(SUM($C$9:C16)/Espacement_Véhicules+1,0)))</f>
        <v>0</v>
      </c>
      <c r="CS16" s="236">
        <f>IF($C16=0,0,IF(ROUNDDOWN(SUM($C$10:C16)/Espacement_Véhicules+1,0)&gt;NMaxSiègeEquipe*(1+(100-Remplissage_du_brin_descendant)*0.005),NMaxSiègeEquipe*(1+(100-Remplissage_du_brin_descendant)*0.005) +1,ROUNDDOWN(SUM($C$10:C16)/Espacement_Véhicules+1,0)))</f>
        <v>0</v>
      </c>
      <c r="CT16" s="236">
        <f>IF($C16=0,0,IF(ROUNDDOWN(SUM($C$11:C16)/Espacement_Véhicules+1,0)&gt;NMaxSiègeEquipe*(1+(100-Remplissage_du_brin_descendant)*0.005),NMaxSiègeEquipe*(1+(100-Remplissage_du_brin_descendant)*0.005) +1,ROUNDDOWN(SUM($C$11:C16)/Espacement_Véhicules+1,0)))</f>
        <v>0</v>
      </c>
      <c r="CU16" s="236">
        <f>IF($C16=0,0,IF(ROUNDDOWN(SUM($C$12:C16)/Espacement_Véhicules+1,0)&gt;NMaxSiègeEquipe*(1+(100-Remplissage_du_brin_descendant)*0.005),NMaxSiègeEquipe*(1+(100-Remplissage_du_brin_descendant)*0.005) +1,ROUNDDOWN(SUM($C$12:C16)/Espacement_Véhicules+1,0)))</f>
        <v>0</v>
      </c>
      <c r="CV16" s="236">
        <f>IF($C16=0,0,IF(ROUNDDOWN(SUM($C$13:C16)/Espacement_Véhicules+1,0)&gt;NMaxSiègeEquipe*(1+(100-Remplissage_du_brin_descendant)*0.005),NMaxSiègeEquipe*(1+(100-Remplissage_du_brin_descendant)*0.005) +1,ROUNDDOWN(SUM($C$13:C16)/Espacement_Véhicules+1,0)))</f>
        <v>0</v>
      </c>
      <c r="CW16" s="236">
        <f>IF($C16=0,0,IF(ROUNDDOWN(SUM($C$14:C16)/Espacement_Véhicules+1,0)&gt;NMaxSiègeEquipe*(1+(100-Remplissage_du_brin_descendant)*0.005),NMaxSiègeEquipe*(1+(100-Remplissage_du_brin_descendant)*0.005) +1,ROUNDDOWN(SUM($C$14:C16)/Espacement_Véhicules+1,0)))</f>
        <v>0</v>
      </c>
      <c r="CX16" s="236">
        <f>IF($C16=0,0,IF(ROUNDDOWN(SUM($C$15:C16)/Espacement_Véhicules+1,0)&gt;NMaxSiègeEquipe*(1+(100-Remplissage_du_brin_descendant)*0.005),NMaxSiègeEquipe*(1+(100-Remplissage_du_brin_descendant)*0.005) +1,ROUNDDOWN(SUM($C$15:C16)/Espacement_Véhicules+1,0)))</f>
        <v>0</v>
      </c>
      <c r="CY16" s="236">
        <f>IF($C16=0,0,ROUNDDOWN($C16/Espacement_Véhicules+1,0))</f>
        <v>0</v>
      </c>
      <c r="CZ16" s="350"/>
      <c r="DA16" s="350"/>
      <c r="DB16" s="350"/>
      <c r="DC16" s="350"/>
      <c r="DD16" s="350"/>
      <c r="DE16" s="350"/>
      <c r="DF16" s="350"/>
      <c r="DG16" s="350"/>
      <c r="DH16" s="350"/>
      <c r="DI16" s="350"/>
      <c r="DJ16" s="350"/>
      <c r="DK16" s="350"/>
      <c r="DL16" s="350"/>
      <c r="DM16" s="350"/>
      <c r="DN16" s="350"/>
      <c r="DO16" s="356">
        <f t="shared" si="5"/>
        <v>0</v>
      </c>
      <c r="DP16" s="356">
        <f t="shared" si="12"/>
        <v>0</v>
      </c>
      <c r="DQ16" s="356">
        <f t="shared" si="16"/>
        <v>0</v>
      </c>
      <c r="DR16" s="356">
        <f t="shared" si="20"/>
        <v>0</v>
      </c>
      <c r="DS16" s="356">
        <f t="shared" si="24"/>
        <v>0</v>
      </c>
      <c r="DT16" s="356">
        <f t="shared" si="28"/>
        <v>0</v>
      </c>
      <c r="DU16" s="356">
        <f t="shared" si="32"/>
        <v>0</v>
      </c>
      <c r="DV16" s="356">
        <f t="shared" si="36"/>
        <v>0</v>
      </c>
      <c r="DW16" s="356">
        <f t="shared" si="40"/>
        <v>0</v>
      </c>
      <c r="DX16" s="356">
        <f t="shared" ref="DX16:DX31" si="44">IF($C16=0,0,IF(DX15+$F16*(CX16-CX15)*Remplissage_du_brin_descendant/100+$H16&gt;=Durée_maximale_d_évacuation,Durée_maximale_d_évacuation,IF(DX15+$F16*(CX16-CX15)*Remplissage_du_brin_descendant/100+$G16+$F17*(CX17-CX16)*Remplissage_du_brin_descendant/100+$H17&gt;=Durée_maximale_d_évacuation,DX15+$F16*(CX16-CX15)*Remplissage_du_brin_descendant/100+$H16,DX15+$F16*(CX16-CX15)*Remplissage_du_brin_descendant/100+$G16)))</f>
        <v>0</v>
      </c>
      <c r="DY16" s="356">
        <f>IF($C16=0,0,IF($E16+$F16*CY16*Remplissage_du_brin_descendant/100+$G16+($F17-$F16)*CY17*Remplissage_du_brin_descendant/100+$H17&gt;=Durée_maximale_d_évacuation,$E16+$F16*CY16*Remplissage_du_brin_descendant/100+$H16,$E16+$F16*CY16*Remplissage_du_brin_descendant/100+$G16))</f>
        <v>0</v>
      </c>
      <c r="DZ16" s="357"/>
      <c r="EA16" s="357"/>
      <c r="EB16" s="357"/>
      <c r="EC16" s="357"/>
      <c r="ED16" s="357"/>
      <c r="EE16" s="357"/>
      <c r="EF16" s="357"/>
      <c r="EG16" s="357"/>
      <c r="EH16" s="357"/>
      <c r="EI16" s="357"/>
      <c r="EJ16" s="357"/>
      <c r="EK16" s="357"/>
      <c r="EL16" s="357"/>
      <c r="EM16" s="357"/>
      <c r="EN16" s="357"/>
      <c r="EO16" s="224">
        <f t="shared" si="6"/>
        <v>0</v>
      </c>
      <c r="EP16" s="224">
        <f t="shared" si="13"/>
        <v>0</v>
      </c>
      <c r="EQ16" s="224">
        <f t="shared" si="17"/>
        <v>0</v>
      </c>
      <c r="ER16" s="224">
        <f t="shared" si="21"/>
        <v>0</v>
      </c>
      <c r="ES16" s="224">
        <f t="shared" si="25"/>
        <v>0</v>
      </c>
      <c r="ET16" s="224">
        <f t="shared" si="29"/>
        <v>0</v>
      </c>
      <c r="EU16" s="224">
        <f t="shared" si="33"/>
        <v>0</v>
      </c>
      <c r="EV16" s="224">
        <f t="shared" si="37"/>
        <v>0</v>
      </c>
      <c r="EW16" s="224">
        <f t="shared" si="41"/>
        <v>0</v>
      </c>
      <c r="EX16" s="224">
        <f t="shared" ref="EX16:EX31" si="45">IF(OR(EW16=1,EX15=0),0,IF(CX16=0,0,IF(CX16&lt;NMaxSiègeEquipe*(1+(100-Remplissage_du_brin_descendant)*0.005)+1,IF(DX16&lt;Durée_maximale_d_évacuation,1,0),0)))</f>
        <v>0</v>
      </c>
      <c r="EY16" s="224">
        <f>IF(SUM(EO16:EX16)&gt;0,0,IF(CY16=0,0,IF(CY16&lt;NMaxSiègeEquipe*(1+(100-Remplissage_du_brin_descendant)*0.005)+1,IF(DY16&lt;Durée_maximale_d_évacuation,1,0),0)))</f>
        <v>0</v>
      </c>
      <c r="EZ16" s="225"/>
      <c r="FA16" s="225"/>
      <c r="FB16" s="225"/>
      <c r="FC16" s="225"/>
      <c r="FD16" s="225"/>
      <c r="FE16" s="225"/>
      <c r="FF16" s="225"/>
      <c r="FG16" s="225"/>
      <c r="FH16" s="225"/>
      <c r="FI16" s="225"/>
      <c r="FJ16" s="225"/>
      <c r="FK16" s="225"/>
      <c r="FL16" s="225"/>
      <c r="FM16" s="225"/>
      <c r="FN16" s="225"/>
      <c r="FO16" s="332">
        <f t="shared" si="7"/>
        <v>0</v>
      </c>
      <c r="FP16" s="236">
        <f t="shared" si="8"/>
        <v>0</v>
      </c>
      <c r="FQ16" s="238">
        <f t="shared" si="9"/>
        <v>0</v>
      </c>
      <c r="FR16" s="224">
        <f>IF(Remplissage_du_brin_descendant=0,0,IF(10&gt;NBPylône,"",IF(SUM(EO16:EX16)=1,FR15,FR15+1)))</f>
        <v>0</v>
      </c>
    </row>
    <row r="17" spans="1:174" x14ac:dyDescent="0.2">
      <c r="A17" s="62" t="str">
        <f>'     2-DL     '!C19</f>
        <v/>
      </c>
      <c r="B17" s="65" t="str">
        <f>'     2-DL     '!D19</f>
        <v/>
      </c>
      <c r="C17" s="63">
        <f>IF(B17="",0,'     2-DL     '!E19)</f>
        <v>0</v>
      </c>
      <c r="D17" s="66"/>
      <c r="E17" s="4">
        <f>IF(C17=0,0,'     2-DL     '!F19)</f>
        <v>0</v>
      </c>
      <c r="F17" s="4">
        <f>IF(C17=0,0,IF(S_TempsEvacuationVehicule=1,A_TempsEvacuationVéhicule,'     2-DL     '!H19))</f>
        <v>0</v>
      </c>
      <c r="G17" s="4">
        <f>IF(C17=0,0,IF(S_TempsAccèsPortéeSuivante=1,A_TempsAccèsPortéeSuivante,'     2-DL     '!J19))</f>
        <v>0</v>
      </c>
      <c r="H17" s="4">
        <f>IF(C17=0,0,'     2-DL     '!L19)</f>
        <v>0</v>
      </c>
      <c r="I17" s="66"/>
      <c r="J17" s="236">
        <f>IF($C17=0,0,IF(ROUNDDOWN(SUM($C$6:C17)/Espacement_Véhicules+1,0)&gt;NMaxSiègeEquipe*(1+(100-Remplissage_du_brin_montant)*0.005),NMaxSiègeEquipe*(1+(100-Remplissage_du_brin_montant)*0.005) +1,ROUNDDOWN(SUM($C$6:C17)/Espacement_Véhicules+1,0)))</f>
        <v>0</v>
      </c>
      <c r="K17" s="236">
        <f>IF($C17=0,0,IF(ROUNDDOWN(SUM($C$7:C17)/Espacement_Véhicules+1,0)&gt;NMaxSiègeEquipe*(1+(100-Remplissage_du_brin_montant)*0.005),NMaxSiègeEquipe*(1+(100-Remplissage_du_brin_montant)*0.005) +1,ROUNDDOWN(SUM($C$7:C17)/Espacement_Véhicules+1,0)))</f>
        <v>0</v>
      </c>
      <c r="L17" s="236">
        <f>IF($C17=0,0,IF(ROUNDDOWN(SUM($C$8:C17)/Espacement_Véhicules+1,0)&gt;NMaxSiègeEquipe*(1+(100-Remplissage_du_brin_montant)*0.005),NMaxSiègeEquipe*(1+(100-Remplissage_du_brin_montant)*0.005) +1,ROUNDDOWN(SUM($C$8:C17)/Espacement_Véhicules+1,0)))</f>
        <v>0</v>
      </c>
      <c r="M17" s="236">
        <f>IF($C17=0,0,IF(ROUNDDOWN(SUM($C$9:C17)/Espacement_Véhicules+1,0)&gt;NMaxSiègeEquipe*(1+(100-Remplissage_du_brin_montant)*0.005),NMaxSiègeEquipe*(1+(100-Remplissage_du_brin_montant)*0.005) +1,ROUNDDOWN(SUM($C$9:C17)/Espacement_Véhicules+1,0)))</f>
        <v>0</v>
      </c>
      <c r="N17" s="236">
        <f>IF($C17=0,0,IF(ROUNDDOWN(SUM($C10:$C17)/Espacement_Véhicules+1,0)&gt;NMaxSiègeEquipe*(1+(100-Remplissage_du_brin_montant)*0.005),NMaxSiègeEquipe +1,ROUNDDOWN(SUM($C10:$C17)/Espacement_Véhicules+1,0)))</f>
        <v>0</v>
      </c>
      <c r="O17" s="236">
        <f>IF($C17=0,0,IF(ROUNDDOWN(SUM($C16:C17)/Espacement_Véhicules+1,0)&gt;NMaxSiègeEquipe*(1+(100-Remplissage_du_brin_montant)*0.005),NMaxSiègeEquipe*(1+(100-Remplissage_du_brin_montant)*0.005) +1,ROUNDDOWN(SUM($C$11:C17)/Espacement_Véhicules+1,0)))</f>
        <v>0</v>
      </c>
      <c r="P17" s="236">
        <f>IF($C17=0,0,IF(ROUNDDOWN(SUM($C$12:C17)/Espacement_Véhicules+1,0)&gt;NMaxSiègeEquipe*(1+(100-Remplissage_du_brin_montant)*0.005),NMaxSiègeEquipe*(1+(100-Remplissage_du_brin_montant)*0.005) +1,ROUNDDOWN(SUM($C$12:C17)/Espacement_Véhicules+1,0)))</f>
        <v>0</v>
      </c>
      <c r="Q17" s="236">
        <f>IF($C17=0,0,IF(ROUNDDOWN(SUM($C$13:C17)/Espacement_Véhicules+1,0)&gt;NMaxSiègeEquipe*(1+(100-Remplissage_du_brin_montant)*0.005),NMaxSiègeEquipe*(1+(100-Remplissage_du_brin_montant)*0.005) +1,ROUNDDOWN(SUM($C$13:C17)/Espacement_Véhicules+1,0)))</f>
        <v>0</v>
      </c>
      <c r="R17" s="236">
        <f>IF($C17=0,0,IF(ROUNDDOWN(SUM($C$14:C17)/Espacement_Véhicules+1,0)&gt;NMaxSiègeEquipe*(1+(100-Remplissage_du_brin_montant)*0.005),NMaxSiègeEquipe*(1+(100-Remplissage_du_brin_montant)*0.005) +1,ROUNDDOWN(SUM($C$14:C17)/Espacement_Véhicules+1,0)))</f>
        <v>0</v>
      </c>
      <c r="S17" s="236">
        <f>IF($C17=0,0,IF(ROUNDDOWN(SUM($C$15:C17)/Espacement_Véhicules+1,0)&gt;NMaxSiègeEquipe*(1+(100-Remplissage_du_brin_montant)*0.005),NMaxSiègeEquipe*(1+(100-Remplissage_du_brin_montant)*0.005) +1,ROUNDDOWN(SUM($C$15:C17)/Espacement_Véhicules+1,0)))</f>
        <v>0</v>
      </c>
      <c r="T17" s="236">
        <f>IF($C17=0,0,IF(ROUNDDOWN(SUM($C$16:C17)/Espacement_Véhicules+1,0)&gt;NMaxSiègeEquipe*(1+(100-Remplissage_du_brin_montant)*0.005),NMaxSiègeEquipe*(1+(100-Remplissage_du_brin_montant)*0.005) +1,ROUNDDOWN(SUM($C$16:C17)/Espacement_Véhicules+1,0)))</f>
        <v>0</v>
      </c>
      <c r="U17" s="236">
        <f>IF($C17=0,0,ROUNDDOWN($C17/Espacement_Véhicules+1,0))</f>
        <v>0</v>
      </c>
      <c r="V17" s="350"/>
      <c r="W17" s="350"/>
      <c r="X17" s="350"/>
      <c r="Y17" s="350"/>
      <c r="Z17" s="350"/>
      <c r="AA17" s="350"/>
      <c r="AB17" s="350"/>
      <c r="AC17" s="350"/>
      <c r="AD17" s="350"/>
      <c r="AE17" s="350"/>
      <c r="AF17" s="350"/>
      <c r="AG17" s="350"/>
      <c r="AH17" s="350"/>
      <c r="AI17" s="350"/>
      <c r="AJ17" s="356">
        <f t="shared" si="0"/>
        <v>0</v>
      </c>
      <c r="AK17" s="356">
        <f t="shared" si="10"/>
        <v>0</v>
      </c>
      <c r="AL17" s="356">
        <f t="shared" si="14"/>
        <v>0</v>
      </c>
      <c r="AM17" s="356">
        <f t="shared" si="18"/>
        <v>0</v>
      </c>
      <c r="AN17" s="356">
        <f t="shared" si="22"/>
        <v>0</v>
      </c>
      <c r="AO17" s="356">
        <f t="shared" si="26"/>
        <v>0</v>
      </c>
      <c r="AP17" s="356">
        <f t="shared" si="30"/>
        <v>0</v>
      </c>
      <c r="AQ17" s="356">
        <f t="shared" si="34"/>
        <v>0</v>
      </c>
      <c r="AR17" s="356">
        <f t="shared" si="38"/>
        <v>0</v>
      </c>
      <c r="AS17" s="356">
        <f t="shared" si="42"/>
        <v>0</v>
      </c>
      <c r="AT17" s="356">
        <f t="shared" ref="AT17:AT31" si="46">IF($C17=0,0,IF(AT16+$F17*(T17-T16)*Remplissage_du_brin_montant/100+$H17&gt;=Durée_maximale_d_évacuation,Durée_maximale_d_évacuation,IF(AT16+$F17*(T17-T16)*Remplissage_du_brin_montant/100+$G17+$F18*(T18-T17)*Remplissage_du_brin_montant/100+$H18&gt;=Durée_maximale_d_évacuation,AT16+$F17*(T17-T16)*Remplissage_du_brin_montant/100+$H17,AT16+$F17*(T17-T16)*Remplissage_du_brin_montant/100+$G17)))</f>
        <v>0</v>
      </c>
      <c r="AU17" s="356">
        <f>IF($C17=0,0,IF($E17+$F17*U17*Remplissage_du_brin_montant/100+$G17+($F18-$F17)*U18*Remplissage_du_brin_montant/100+$H18&gt;=Durée_maximale_d_évacuation,$E17+$F17*U17*Remplissage_du_brin_montant/100+$H17,$E17+$F17*U17*Remplissage_du_brin_montant/100+$G17))</f>
        <v>0</v>
      </c>
      <c r="AV17" s="357"/>
      <c r="AW17" s="357"/>
      <c r="AX17" s="357"/>
      <c r="AY17" s="357"/>
      <c r="AZ17" s="357"/>
      <c r="BA17" s="357"/>
      <c r="BB17" s="357"/>
      <c r="BC17" s="357"/>
      <c r="BD17" s="357"/>
      <c r="BE17" s="357"/>
      <c r="BF17" s="357"/>
      <c r="BG17" s="357"/>
      <c r="BH17" s="357"/>
      <c r="BI17" s="357"/>
      <c r="BJ17" s="224">
        <f t="shared" si="1"/>
        <v>0</v>
      </c>
      <c r="BK17" s="224">
        <f t="shared" si="11"/>
        <v>0</v>
      </c>
      <c r="BL17" s="224">
        <f t="shared" si="15"/>
        <v>0</v>
      </c>
      <c r="BM17" s="224">
        <f t="shared" si="19"/>
        <v>0</v>
      </c>
      <c r="BN17" s="224">
        <f t="shared" si="23"/>
        <v>0</v>
      </c>
      <c r="BO17" s="224">
        <f t="shared" si="27"/>
        <v>0</v>
      </c>
      <c r="BP17" s="224">
        <f t="shared" si="31"/>
        <v>0</v>
      </c>
      <c r="BQ17" s="224">
        <f t="shared" si="35"/>
        <v>0</v>
      </c>
      <c r="BR17" s="224">
        <f t="shared" si="39"/>
        <v>0</v>
      </c>
      <c r="BS17" s="224">
        <f t="shared" si="43"/>
        <v>0</v>
      </c>
      <c r="BT17" s="224">
        <f t="shared" ref="BT17:BT31" si="47">IF(OR(BS17=1,BT16=0),0,IF(T17=0,0,IF(T17&lt;NMaxSiègeEquipe*(1+(100-Remplissage_du_brin_montant)*0.005)+1,IF(AT17&lt;Durée_maximale_d_évacuation,1,0),0)))</f>
        <v>0</v>
      </c>
      <c r="BU17" s="224">
        <f>IF(SUM(BJ17:BT17)&gt;0,0,IF(U17=0,0,IF(U17&lt;NMaxSiègeEquipe*(1+(100-Remplissage_du_brin_montant)*0.005)+1,IF(AU17&lt;Durée_maximale_d_évacuation,1,0),0)))</f>
        <v>0</v>
      </c>
      <c r="BV17" s="225"/>
      <c r="BW17" s="225"/>
      <c r="BX17" s="225"/>
      <c r="BY17" s="225"/>
      <c r="BZ17" s="225"/>
      <c r="CA17" s="225"/>
      <c r="CB17" s="225"/>
      <c r="CC17" s="225"/>
      <c r="CD17" s="225"/>
      <c r="CE17" s="225"/>
      <c r="CF17" s="225"/>
      <c r="CG17" s="225"/>
      <c r="CH17" s="225"/>
      <c r="CI17" s="225"/>
      <c r="CJ17" s="332">
        <f t="shared" si="2"/>
        <v>0</v>
      </c>
      <c r="CK17" s="236">
        <f t="shared" si="3"/>
        <v>0</v>
      </c>
      <c r="CL17" s="238">
        <f t="shared" si="4"/>
        <v>0</v>
      </c>
      <c r="CM17" s="224">
        <f>IF(Remplissage_du_brin_montant=0,0,IF(11&gt;NBPylône,"",IF(SUM(BJ17:BT17)=1,CM16,CM16+1)))</f>
        <v>0</v>
      </c>
      <c r="CN17" s="17"/>
      <c r="CO17" s="236">
        <f>IF(C17=0,0,IF(ROUNDDOWN(SUM($C$6:C17)/Espacement_Véhicules+1,0)&gt;NMaxSiègeEquipe*(1+(100-Remplissage_du_brin_descendant)*0.005),NMaxSiègeEquipe*(1+(100-Remplissage_du_brin_descendant)*0.005) +1,ROUNDDOWN(SUM($C$6:C17)/Espacement_Véhicules+1,0)))</f>
        <v>0</v>
      </c>
      <c r="CP17" s="236">
        <f>IF($C17=0,0,IF(ROUNDDOWN(SUM($C$7:C17)/Espacement_Véhicules+1,0)&gt;NMaxSiègeEquipe*(1+(100-Remplissage_du_brin_descendant)*0.005),NMaxSiègeEquipe*(1+(100-Remplissage_du_brin_descendant)*0.005) +1,ROUNDDOWN(SUM($C$7:C17)/Espacement_Véhicules+1,0)))</f>
        <v>0</v>
      </c>
      <c r="CQ17" s="236">
        <f>IF($C17=0,0,IF(ROUNDDOWN(SUM($C$8:C17)/Espacement_Véhicules+1,0)&gt;NMaxSiègeEquipe*(1+(100-Remplissage_du_brin_descendant)*0.005),NMaxSiègeEquipe*(1+(100-Remplissage_du_brin_descendant)*0.005) +1,ROUNDDOWN(SUM($C$8:C17)/Espacement_Véhicules+1,0)))</f>
        <v>0</v>
      </c>
      <c r="CR17" s="236">
        <f>IF($C17=0,0,IF(ROUNDDOWN(SUM($C$9:C17)/Espacement_Véhicules+1,0)&gt;NMaxSiègeEquipe*(1+(100-Remplissage_du_brin_descendant)*0.005),NMaxSiègeEquipe*(1+(100-Remplissage_du_brin_descendant)*0.005) +1,ROUNDDOWN(SUM($C$9:C17)/Espacement_Véhicules+1,0)))</f>
        <v>0</v>
      </c>
      <c r="CS17" s="236">
        <f>IF($C17=0,0,IF(ROUNDDOWN(SUM($C$10:C17)/Espacement_Véhicules+1,0)&gt;NMaxSiègeEquipe*(1+(100-Remplissage_du_brin_descendant)*0.005),NMaxSiègeEquipe*(1+(100-Remplissage_du_brin_descendant)*0.005) +1,ROUNDDOWN(SUM($C$10:C17)/Espacement_Véhicules+1,0)))</f>
        <v>0</v>
      </c>
      <c r="CT17" s="236">
        <f>IF($C17=0,0,IF(ROUNDDOWN(SUM($C$11:C17)/Espacement_Véhicules+1,0)&gt;NMaxSiègeEquipe*(1+(100-Remplissage_du_brin_descendant)*0.005),NMaxSiègeEquipe*(1+(100-Remplissage_du_brin_descendant)*0.005) +1,ROUNDDOWN(SUM($C$11:C17)/Espacement_Véhicules+1,0)))</f>
        <v>0</v>
      </c>
      <c r="CU17" s="236">
        <f>IF($C17=0,0,IF(ROUNDDOWN(SUM($C$12:C17)/Espacement_Véhicules+1,0)&gt;NMaxSiègeEquipe*(1+(100-Remplissage_du_brin_descendant)*0.005),NMaxSiègeEquipe*(1+(100-Remplissage_du_brin_descendant)*0.005) +1,ROUNDDOWN(SUM($C$12:C17)/Espacement_Véhicules+1,0)))</f>
        <v>0</v>
      </c>
      <c r="CV17" s="236">
        <f>IF($C17=0,0,IF(ROUNDDOWN(SUM($C$13:C17)/Espacement_Véhicules+1,0)&gt;NMaxSiègeEquipe*(1+(100-Remplissage_du_brin_descendant)*0.005),NMaxSiègeEquipe*(1+(100-Remplissage_du_brin_descendant)*0.005) +1,ROUNDDOWN(SUM($C$13:C17)/Espacement_Véhicules+1,0)))</f>
        <v>0</v>
      </c>
      <c r="CW17" s="236">
        <f>IF($C17=0,0,IF(ROUNDDOWN(SUM($C$14:C17)/Espacement_Véhicules+1,0)&gt;NMaxSiègeEquipe*(1+(100-Remplissage_du_brin_descendant)*0.005),NMaxSiègeEquipe*(1+(100-Remplissage_du_brin_descendant)*0.005) +1,ROUNDDOWN(SUM($C$14:C17)/Espacement_Véhicules+1,0)))</f>
        <v>0</v>
      </c>
      <c r="CX17" s="236">
        <f>IF($C17=0,0,IF(ROUNDDOWN(SUM($C$15:C17)/Espacement_Véhicules+1,0)&gt;NMaxSiègeEquipe*(1+(100-Remplissage_du_brin_descendant)*0.005),NMaxSiègeEquipe*(1+(100-Remplissage_du_brin_descendant)*0.005) +1,ROUNDDOWN(SUM($C$15:C17)/Espacement_Véhicules+1,0)))</f>
        <v>0</v>
      </c>
      <c r="CY17" s="236">
        <f>IF($C17=0,0,IF(ROUNDDOWN(SUM($C$16:C17)/Espacement_Véhicules+1,0)&gt;NMaxSiègeEquipe*(1+(100-Remplissage_du_brin_descendant)*0.005),NMaxSiègeEquipe*(1+(100-Remplissage_du_brin_descendant)*0.005) +1,ROUNDDOWN(SUM($C$16:C17)/Espacement_Véhicules+1,0)))</f>
        <v>0</v>
      </c>
      <c r="CZ17" s="236">
        <f>IF($C17=0,0,ROUNDDOWN($C17/Espacement_Véhicules+1,0))</f>
        <v>0</v>
      </c>
      <c r="DA17" s="350"/>
      <c r="DB17" s="350"/>
      <c r="DC17" s="350"/>
      <c r="DD17" s="350"/>
      <c r="DE17" s="350"/>
      <c r="DF17" s="350"/>
      <c r="DG17" s="350"/>
      <c r="DH17" s="350"/>
      <c r="DI17" s="350"/>
      <c r="DJ17" s="350"/>
      <c r="DK17" s="350"/>
      <c r="DL17" s="350"/>
      <c r="DM17" s="350"/>
      <c r="DN17" s="350"/>
      <c r="DO17" s="356">
        <f t="shared" si="5"/>
        <v>0</v>
      </c>
      <c r="DP17" s="356">
        <f t="shared" si="12"/>
        <v>0</v>
      </c>
      <c r="DQ17" s="356">
        <f t="shared" si="16"/>
        <v>0</v>
      </c>
      <c r="DR17" s="356">
        <f t="shared" si="20"/>
        <v>0</v>
      </c>
      <c r="DS17" s="356">
        <f t="shared" si="24"/>
        <v>0</v>
      </c>
      <c r="DT17" s="356">
        <f t="shared" si="28"/>
        <v>0</v>
      </c>
      <c r="DU17" s="356">
        <f t="shared" si="32"/>
        <v>0</v>
      </c>
      <c r="DV17" s="356">
        <f t="shared" si="36"/>
        <v>0</v>
      </c>
      <c r="DW17" s="356">
        <f t="shared" si="40"/>
        <v>0</v>
      </c>
      <c r="DX17" s="356">
        <f t="shared" si="44"/>
        <v>0</v>
      </c>
      <c r="DY17" s="356">
        <f t="shared" ref="DY17:DY31" si="48">IF($C17=0,0,IF(DY16+$F17*(CY17-CY16)*Remplissage_du_brin_descendant/100+$H17&gt;=Durée_maximale_d_évacuation,Durée_maximale_d_évacuation,IF(DY16+$F17*(CY17-CY16)*Remplissage_du_brin_descendant/100+$G17+$F18*(CY18-CY17)*Remplissage_du_brin_descendant/100+$H18&gt;=Durée_maximale_d_évacuation,DY16+$F17*(CY17-CY16)*Remplissage_du_brin_descendant/100+$H17,DY16+$F17*(CY17-CY16)*Remplissage_du_brin_descendant/100+$G17)))</f>
        <v>0</v>
      </c>
      <c r="DZ17" s="356">
        <f>IF($C17=0,0,IF($E17+$F17*CZ17*Remplissage_du_brin_descendant/100+$G17+($F18-$F17)*CZ18*Remplissage_du_brin_descendant/100+$H18&gt;=Durée_maximale_d_évacuation,$E17+$F17*CZ17*Remplissage_du_brin_descendant/100+$H17,$E17+$F17*CZ17*Remplissage_du_brin_descendant/100+$G17))</f>
        <v>0</v>
      </c>
      <c r="EA17" s="357"/>
      <c r="EB17" s="357"/>
      <c r="EC17" s="357"/>
      <c r="ED17" s="357"/>
      <c r="EE17" s="357"/>
      <c r="EF17" s="357"/>
      <c r="EG17" s="357"/>
      <c r="EH17" s="357"/>
      <c r="EI17" s="357"/>
      <c r="EJ17" s="357"/>
      <c r="EK17" s="357"/>
      <c r="EL17" s="357"/>
      <c r="EM17" s="357"/>
      <c r="EN17" s="357"/>
      <c r="EO17" s="224">
        <f t="shared" si="6"/>
        <v>0</v>
      </c>
      <c r="EP17" s="224">
        <f t="shared" si="13"/>
        <v>0</v>
      </c>
      <c r="EQ17" s="224">
        <f t="shared" si="17"/>
        <v>0</v>
      </c>
      <c r="ER17" s="224">
        <f t="shared" si="21"/>
        <v>0</v>
      </c>
      <c r="ES17" s="224">
        <f t="shared" si="25"/>
        <v>0</v>
      </c>
      <c r="ET17" s="224">
        <f t="shared" si="29"/>
        <v>0</v>
      </c>
      <c r="EU17" s="224">
        <f t="shared" si="33"/>
        <v>0</v>
      </c>
      <c r="EV17" s="224">
        <f t="shared" si="37"/>
        <v>0</v>
      </c>
      <c r="EW17" s="224">
        <f t="shared" si="41"/>
        <v>0</v>
      </c>
      <c r="EX17" s="224">
        <f t="shared" si="45"/>
        <v>0</v>
      </c>
      <c r="EY17" s="224">
        <f t="shared" ref="EY17:EY31" si="49">IF(OR(EX17=1,EY16=0),0,IF(CY17=0,0,IF(CY17&lt;NMaxSiègeEquipe*(1+(100-Remplissage_du_brin_descendant)*0.005)+1,IF(DY17&lt;Durée_maximale_d_évacuation,1,0),0)))</f>
        <v>0</v>
      </c>
      <c r="EZ17" s="224">
        <f>IF(SUM(EO17:EY17)&gt;0,0,IF(CZ17=0,0,IF(CZ17&lt;NMaxSiègeEquipe*(1+(100-Remplissage_du_brin_descendant)*0.005)+1,IF(DZ17&lt;Durée_maximale_d_évacuation,1,0),0)))</f>
        <v>0</v>
      </c>
      <c r="FA17" s="225"/>
      <c r="FB17" s="225"/>
      <c r="FC17" s="225"/>
      <c r="FD17" s="225"/>
      <c r="FE17" s="225"/>
      <c r="FF17" s="225"/>
      <c r="FG17" s="225"/>
      <c r="FH17" s="225"/>
      <c r="FI17" s="225"/>
      <c r="FJ17" s="225"/>
      <c r="FK17" s="225"/>
      <c r="FL17" s="225"/>
      <c r="FM17" s="225"/>
      <c r="FN17" s="225"/>
      <c r="FO17" s="332">
        <f t="shared" si="7"/>
        <v>0</v>
      </c>
      <c r="FP17" s="236">
        <f t="shared" si="8"/>
        <v>0</v>
      </c>
      <c r="FQ17" s="238">
        <f t="shared" si="9"/>
        <v>0</v>
      </c>
      <c r="FR17" s="224">
        <f>IF(Remplissage_du_brin_descendant=0,0,IF(11&gt;NBPylône,"",IF(SUM(EO17:EY17)=1,FR16,FR16+1)))</f>
        <v>0</v>
      </c>
    </row>
    <row r="18" spans="1:174" x14ac:dyDescent="0.2">
      <c r="A18" s="62" t="str">
        <f>'     2-DL     '!C20</f>
        <v/>
      </c>
      <c r="B18" s="65" t="str">
        <f>'     2-DL     '!D20</f>
        <v/>
      </c>
      <c r="C18" s="63">
        <f>IF(B18="",0,'     2-DL     '!E20)</f>
        <v>0</v>
      </c>
      <c r="D18" s="66"/>
      <c r="E18" s="4">
        <f>IF(C18=0,0,'     2-DL     '!F20)</f>
        <v>0</v>
      </c>
      <c r="F18" s="4">
        <f>IF(C18=0,0,IF(S_TempsEvacuationVehicule=1,A_TempsEvacuationVéhicule,'     2-DL     '!H20))</f>
        <v>0</v>
      </c>
      <c r="G18" s="4">
        <f>IF(C18=0,0,IF(S_TempsAccèsPortéeSuivante=1,A_TempsAccèsPortéeSuivante,'     2-DL     '!J20))</f>
        <v>0</v>
      </c>
      <c r="H18" s="4">
        <f>IF(C18=0,0,'     2-DL     '!L20)</f>
        <v>0</v>
      </c>
      <c r="I18" s="66"/>
      <c r="J18" s="236">
        <f>IF($C18=0,0,IF(ROUNDDOWN(SUM($C$6:C18)/Espacement_Véhicules+1,0)&gt;NMaxSiègeEquipe*(1+(100-Remplissage_du_brin_montant)*0.005),NMaxSiègeEquipe*(1+(100-Remplissage_du_brin_montant)*0.005) +1,ROUNDDOWN(SUM($C$6:C18)/Espacement_Véhicules+1,0)))</f>
        <v>0</v>
      </c>
      <c r="K18" s="236">
        <f>IF($C18=0,0,IF(ROUNDDOWN(SUM($C$7:C18)/Espacement_Véhicules+1,0)&gt;NMaxSiègeEquipe*(1+(100-Remplissage_du_brin_montant)*0.005),NMaxSiègeEquipe*(1+(100-Remplissage_du_brin_montant)*0.005) +1,ROUNDDOWN(SUM($C$7:C18)/Espacement_Véhicules+1,0)))</f>
        <v>0</v>
      </c>
      <c r="L18" s="236">
        <f>IF($C18=0,0,IF(ROUNDDOWN(SUM($C$8:C18)/Espacement_Véhicules+1,0)&gt;NMaxSiègeEquipe*(1+(100-Remplissage_du_brin_montant)*0.005),NMaxSiègeEquipe*(1+(100-Remplissage_du_brin_montant)*0.005) +1,ROUNDDOWN(SUM($C$8:C18)/Espacement_Véhicules+1,0)))</f>
        <v>0</v>
      </c>
      <c r="M18" s="236">
        <f>IF($C18=0,0,IF(ROUNDDOWN(SUM($C$9:C18)/Espacement_Véhicules+1,0)&gt;NMaxSiègeEquipe*(1+(100-Remplissage_du_brin_montant)*0.005),NMaxSiègeEquipe*(1+(100-Remplissage_du_brin_montant)*0.005) +1,ROUNDDOWN(SUM($C$9:C18)/Espacement_Véhicules+1,0)))</f>
        <v>0</v>
      </c>
      <c r="N18" s="236">
        <f>IF($C18=0,0,IF(ROUNDDOWN(SUM($C10:$C18)/Espacement_Véhicules+1,0)&gt;NMaxSiègeEquipe*(1+(100-Remplissage_du_brin_montant)*0.005),NMaxSiègeEquipe +1,ROUNDDOWN(SUM($C10:$C18)/Espacement_Véhicules+1,0)))</f>
        <v>0</v>
      </c>
      <c r="O18" s="236">
        <f>IF($C18=0,0,IF(ROUNDDOWN(SUM($C17:C18)/Espacement_Véhicules+1,0)&gt;NMaxSiègeEquipe*(1+(100-Remplissage_du_brin_montant)*0.005),NMaxSiègeEquipe*(1+(100-Remplissage_du_brin_montant)*0.005) +1,ROUNDDOWN(SUM($C$11:C18)/Espacement_Véhicules+1,0)))</f>
        <v>0</v>
      </c>
      <c r="P18" s="236">
        <f>IF($C18=0,0,IF(ROUNDDOWN(SUM($C$12:C18)/Espacement_Véhicules+1,0)&gt;NMaxSiègeEquipe*(1+(100-Remplissage_du_brin_montant)*0.005),NMaxSiègeEquipe*(1+(100-Remplissage_du_brin_montant)*0.005) +1,ROUNDDOWN(SUM($C$12:C18)/Espacement_Véhicules+1,0)))</f>
        <v>0</v>
      </c>
      <c r="Q18" s="236">
        <f>IF($C18=0,0,IF(ROUNDDOWN(SUM($C$13:C18)/Espacement_Véhicules+1,0)&gt;NMaxSiègeEquipe*(1+(100-Remplissage_du_brin_montant)*0.005),NMaxSiègeEquipe*(1+(100-Remplissage_du_brin_montant)*0.005) +1,ROUNDDOWN(SUM($C$13:C18)/Espacement_Véhicules+1,0)))</f>
        <v>0</v>
      </c>
      <c r="R18" s="236">
        <f>IF($C18=0,0,IF(ROUNDDOWN(SUM($C$14:C18)/Espacement_Véhicules+1,0)&gt;NMaxSiègeEquipe*(1+(100-Remplissage_du_brin_montant)*0.005),NMaxSiègeEquipe*(1+(100-Remplissage_du_brin_montant)*0.005) +1,ROUNDDOWN(SUM($C$14:C18)/Espacement_Véhicules+1,0)))</f>
        <v>0</v>
      </c>
      <c r="S18" s="236">
        <f>IF($C18=0,0,IF(ROUNDDOWN(SUM($C$15:C18)/Espacement_Véhicules+1,0)&gt;NMaxSiègeEquipe*(1+(100-Remplissage_du_brin_montant)*0.005),NMaxSiègeEquipe*(1+(100-Remplissage_du_brin_montant)*0.005) +1,ROUNDDOWN(SUM($C$15:C18)/Espacement_Véhicules+1,0)))</f>
        <v>0</v>
      </c>
      <c r="T18" s="236">
        <f>IF($C18=0,0,IF(ROUNDDOWN(SUM($C$16:C18)/Espacement_Véhicules+1,0)&gt;NMaxSiègeEquipe*(1+(100-Remplissage_du_brin_montant)*0.005),NMaxSiègeEquipe*(1+(100-Remplissage_du_brin_montant)*0.005) +1,ROUNDDOWN(SUM($C$16:C18)/Espacement_Véhicules+1,0)))</f>
        <v>0</v>
      </c>
      <c r="U18" s="236">
        <f>IF($C18=0,0,IF(ROUNDDOWN(SUM($C$17:C18)/Espacement_Véhicules+1,0)&gt;NMaxSiègeEquipe*(1+(100-Remplissage_du_brin_montant)*0.005),NMaxSiègeEquipe*(1+(100-Remplissage_du_brin_montant)*0.005) +1,ROUNDDOWN(SUM($C$17:C18)/Espacement_Véhicules+1,0)))</f>
        <v>0</v>
      </c>
      <c r="V18" s="236">
        <f>IF($C18=0,0,ROUNDDOWN($C18/Espacement_Véhicules+1,0))</f>
        <v>0</v>
      </c>
      <c r="W18" s="350"/>
      <c r="X18" s="350"/>
      <c r="Y18" s="350"/>
      <c r="Z18" s="350"/>
      <c r="AA18" s="350"/>
      <c r="AB18" s="350"/>
      <c r="AC18" s="350"/>
      <c r="AD18" s="350"/>
      <c r="AE18" s="350"/>
      <c r="AF18" s="350"/>
      <c r="AG18" s="350"/>
      <c r="AH18" s="350"/>
      <c r="AI18" s="350"/>
      <c r="AJ18" s="356">
        <f t="shared" si="0"/>
        <v>0</v>
      </c>
      <c r="AK18" s="356">
        <f t="shared" si="10"/>
        <v>0</v>
      </c>
      <c r="AL18" s="356">
        <f t="shared" si="14"/>
        <v>0</v>
      </c>
      <c r="AM18" s="356">
        <f t="shared" si="18"/>
        <v>0</v>
      </c>
      <c r="AN18" s="356">
        <f t="shared" si="22"/>
        <v>0</v>
      </c>
      <c r="AO18" s="356">
        <f t="shared" si="26"/>
        <v>0</v>
      </c>
      <c r="AP18" s="356">
        <f t="shared" si="30"/>
        <v>0</v>
      </c>
      <c r="AQ18" s="356">
        <f t="shared" si="34"/>
        <v>0</v>
      </c>
      <c r="AR18" s="356">
        <f t="shared" si="38"/>
        <v>0</v>
      </c>
      <c r="AS18" s="356">
        <f t="shared" si="42"/>
        <v>0</v>
      </c>
      <c r="AT18" s="356">
        <f t="shared" si="46"/>
        <v>0</v>
      </c>
      <c r="AU18" s="356">
        <f t="shared" ref="AU18:AU31" si="50">IF($C18=0,0,IF(AU17+$F18*(U18-U17)*Remplissage_du_brin_montant/100+$H18&gt;=Durée_maximale_d_évacuation,Durée_maximale_d_évacuation,IF(AU17+$F18*(U18-U17)*Remplissage_du_brin_montant/100+$G18+$F19*(U19-U18)*Remplissage_du_brin_montant/100+$H19&gt;=Durée_maximale_d_évacuation,AU17+$F18*(U18-U17)*Remplissage_du_brin_montant/100+$H18,AU17+$F18*(U18-U17)*Remplissage_du_brin_montant/100+$G18)))</f>
        <v>0</v>
      </c>
      <c r="AV18" s="356">
        <f>IF($C18=0,0,IF($E18+$F18*V18*Remplissage_du_brin_montant/100+$G18+($F19-$F18)*V19*Remplissage_du_brin_montant/100+$H19&gt;=Durée_maximale_d_évacuation,$E18+$F18*V18*Remplissage_du_brin_montant/100+$H18,$E18+$F18*V18*Remplissage_du_brin_montant/100+$G18))</f>
        <v>0</v>
      </c>
      <c r="AW18" s="357"/>
      <c r="AX18" s="357"/>
      <c r="AY18" s="357"/>
      <c r="AZ18" s="357"/>
      <c r="BA18" s="357"/>
      <c r="BB18" s="357"/>
      <c r="BC18" s="357"/>
      <c r="BD18" s="357"/>
      <c r="BE18" s="357"/>
      <c r="BF18" s="357"/>
      <c r="BG18" s="357"/>
      <c r="BH18" s="357"/>
      <c r="BI18" s="357"/>
      <c r="BJ18" s="224">
        <f t="shared" si="1"/>
        <v>0</v>
      </c>
      <c r="BK18" s="224">
        <f t="shared" si="11"/>
        <v>0</v>
      </c>
      <c r="BL18" s="224">
        <f t="shared" si="15"/>
        <v>0</v>
      </c>
      <c r="BM18" s="224">
        <f t="shared" si="19"/>
        <v>0</v>
      </c>
      <c r="BN18" s="224">
        <f t="shared" si="23"/>
        <v>0</v>
      </c>
      <c r="BO18" s="224">
        <f t="shared" si="27"/>
        <v>0</v>
      </c>
      <c r="BP18" s="224">
        <f t="shared" si="31"/>
        <v>0</v>
      </c>
      <c r="BQ18" s="224">
        <f t="shared" si="35"/>
        <v>0</v>
      </c>
      <c r="BR18" s="224">
        <f t="shared" si="39"/>
        <v>0</v>
      </c>
      <c r="BS18" s="224">
        <f t="shared" si="43"/>
        <v>0</v>
      </c>
      <c r="BT18" s="224">
        <f t="shared" si="47"/>
        <v>0</v>
      </c>
      <c r="BU18" s="224">
        <f t="shared" ref="BU18:BU31" si="51">IF(OR(BT18=1,BU17=0),0,IF(U18=0,0,IF(U18&lt;NMaxSiègeEquipe*(1+(100-Remplissage_du_brin_montant)*0.005)+1,IF(AU18&lt;Durée_maximale_d_évacuation,1,0),0)))</f>
        <v>0</v>
      </c>
      <c r="BV18" s="224">
        <f>IF(SUM(BJ18:BU18)&gt;0,0,IF(V18=0,0,IF(V18&lt;NMaxSiègeEquipe*(1+(100-Remplissage_du_brin_montant)*0.005)+1,IF(AV18&lt;Durée_maximale_d_évacuation,1,0),0)))</f>
        <v>0</v>
      </c>
      <c r="BW18" s="225"/>
      <c r="BX18" s="225"/>
      <c r="BY18" s="225"/>
      <c r="BZ18" s="225"/>
      <c r="CA18" s="225"/>
      <c r="CB18" s="225"/>
      <c r="CC18" s="225"/>
      <c r="CD18" s="225"/>
      <c r="CE18" s="225"/>
      <c r="CF18" s="225"/>
      <c r="CG18" s="225"/>
      <c r="CH18" s="225"/>
      <c r="CI18" s="225"/>
      <c r="CJ18" s="332">
        <f t="shared" si="2"/>
        <v>0</v>
      </c>
      <c r="CK18" s="236">
        <f t="shared" si="3"/>
        <v>0</v>
      </c>
      <c r="CL18" s="238">
        <f t="shared" si="4"/>
        <v>0</v>
      </c>
      <c r="CM18" s="224">
        <f>IF(Remplissage_du_brin_montant=0,0,IF(12&gt;NBPylône,"",IF(SUM(BJ18:BU18)=1,CM17,CM17+1)))</f>
        <v>0</v>
      </c>
      <c r="CN18" s="17"/>
      <c r="CO18" s="236">
        <f>IF(C18=0,0,IF(ROUNDDOWN(SUM($C$6:C18)/Espacement_Véhicules+1,0)&gt;NMaxSiègeEquipe*(1+(100-Remplissage_du_brin_descendant)*0.005),NMaxSiègeEquipe*(1+(100-Remplissage_du_brin_descendant)*0.005) +1,ROUNDDOWN(SUM($C$6:C18)/Espacement_Véhicules+1,0)))</f>
        <v>0</v>
      </c>
      <c r="CP18" s="236">
        <f>IF($C18=0,0,IF(ROUNDDOWN(SUM($C$7:C18)/Espacement_Véhicules+1,0)&gt;NMaxSiègeEquipe*(1+(100-Remplissage_du_brin_descendant)*0.005),NMaxSiègeEquipe*(1+(100-Remplissage_du_brin_descendant)*0.005) +1,ROUNDDOWN(SUM($C$7:C18)/Espacement_Véhicules+1,0)))</f>
        <v>0</v>
      </c>
      <c r="CQ18" s="236">
        <f>IF($C18=0,0,IF(ROUNDDOWN(SUM($C$8:C18)/Espacement_Véhicules+1,0)&gt;NMaxSiègeEquipe*(1+(100-Remplissage_du_brin_descendant)*0.005),NMaxSiègeEquipe*(1+(100-Remplissage_du_brin_descendant)*0.005) +1,ROUNDDOWN(SUM($C$8:C18)/Espacement_Véhicules+1,0)))</f>
        <v>0</v>
      </c>
      <c r="CR18" s="236">
        <f>IF($C18=0,0,IF(ROUNDDOWN(SUM($C$9:C18)/Espacement_Véhicules+1,0)&gt;NMaxSiègeEquipe*(1+(100-Remplissage_du_brin_descendant)*0.005),NMaxSiègeEquipe*(1+(100-Remplissage_du_brin_descendant)*0.005) +1,ROUNDDOWN(SUM($C$9:C18)/Espacement_Véhicules+1,0)))</f>
        <v>0</v>
      </c>
      <c r="CS18" s="236">
        <f>IF($C18=0,0,IF(ROUNDDOWN(SUM($C$10:C18)/Espacement_Véhicules+1,0)&gt;NMaxSiègeEquipe*(1+(100-Remplissage_du_brin_descendant)*0.005),NMaxSiègeEquipe*(1+(100-Remplissage_du_brin_descendant)*0.005) +1,ROUNDDOWN(SUM($C$10:C18)/Espacement_Véhicules+1,0)))</f>
        <v>0</v>
      </c>
      <c r="CT18" s="236">
        <f>IF($C18=0,0,IF(ROUNDDOWN(SUM($C$11:C18)/Espacement_Véhicules+1,0)&gt;NMaxSiègeEquipe*(1+(100-Remplissage_du_brin_descendant)*0.005),NMaxSiègeEquipe*(1+(100-Remplissage_du_brin_descendant)*0.005) +1,ROUNDDOWN(SUM($C$11:C18)/Espacement_Véhicules+1,0)))</f>
        <v>0</v>
      </c>
      <c r="CU18" s="236">
        <f>IF($C18=0,0,IF(ROUNDDOWN(SUM($C$12:C18)/Espacement_Véhicules+1,0)&gt;NMaxSiègeEquipe*(1+(100-Remplissage_du_brin_descendant)*0.005),NMaxSiègeEquipe*(1+(100-Remplissage_du_brin_descendant)*0.005) +1,ROUNDDOWN(SUM($C$12:C18)/Espacement_Véhicules+1,0)))</f>
        <v>0</v>
      </c>
      <c r="CV18" s="236">
        <f>IF($C18=0,0,IF(ROUNDDOWN(SUM($C$13:C18)/Espacement_Véhicules+1,0)&gt;NMaxSiègeEquipe*(1+(100-Remplissage_du_brin_descendant)*0.005),NMaxSiègeEquipe*(1+(100-Remplissage_du_brin_descendant)*0.005) +1,ROUNDDOWN(SUM($C$13:C18)/Espacement_Véhicules+1,0)))</f>
        <v>0</v>
      </c>
      <c r="CW18" s="236">
        <f>IF($C18=0,0,IF(ROUNDDOWN(SUM($C$14:C18)/Espacement_Véhicules+1,0)&gt;NMaxSiègeEquipe*(1+(100-Remplissage_du_brin_descendant)*0.005),NMaxSiègeEquipe*(1+(100-Remplissage_du_brin_descendant)*0.005) +1,ROUNDDOWN(SUM($C$14:C18)/Espacement_Véhicules+1,0)))</f>
        <v>0</v>
      </c>
      <c r="CX18" s="236">
        <f>IF($C18=0,0,IF(ROUNDDOWN(SUM($C$15:C18)/Espacement_Véhicules+1,0)&gt;NMaxSiègeEquipe*(1+(100-Remplissage_du_brin_descendant)*0.005),NMaxSiègeEquipe*(1+(100-Remplissage_du_brin_descendant)*0.005) +1,ROUNDDOWN(SUM($C$15:C18)/Espacement_Véhicules+1,0)))</f>
        <v>0</v>
      </c>
      <c r="CY18" s="236">
        <f>IF($C18=0,0,IF(ROUNDDOWN(SUM($C$16:C18)/Espacement_Véhicules+1,0)&gt;NMaxSiègeEquipe*(1+(100-Remplissage_du_brin_descendant)*0.005),NMaxSiègeEquipe*(1+(100-Remplissage_du_brin_descendant)*0.005) +1,ROUNDDOWN(SUM($C$16:C18)/Espacement_Véhicules+1,0)))</f>
        <v>0</v>
      </c>
      <c r="CZ18" s="236">
        <f>IF($C18=0,0,IF(ROUNDDOWN(SUM($C$17:C18)/Espacement_Véhicules+1,0)&gt;NMaxSiègeEquipe*(1+(100-Remplissage_du_brin_descendant)*0.005),NMaxSiègeEquipe*(1+(100-Remplissage_du_brin_descendant)*0.005) +1,ROUNDDOWN(SUM($C$17:C18)/Espacement_Véhicules+1,0)))</f>
        <v>0</v>
      </c>
      <c r="DA18" s="236">
        <f>IF($C18=0,0,ROUNDDOWN($C18/Espacement_Véhicules+1,0))</f>
        <v>0</v>
      </c>
      <c r="DB18" s="350"/>
      <c r="DC18" s="350"/>
      <c r="DD18" s="350"/>
      <c r="DE18" s="350"/>
      <c r="DF18" s="350"/>
      <c r="DG18" s="350"/>
      <c r="DH18" s="350"/>
      <c r="DI18" s="350"/>
      <c r="DJ18" s="350"/>
      <c r="DK18" s="350"/>
      <c r="DL18" s="350"/>
      <c r="DM18" s="350"/>
      <c r="DN18" s="350"/>
      <c r="DO18" s="356">
        <f t="shared" si="5"/>
        <v>0</v>
      </c>
      <c r="DP18" s="356">
        <f t="shared" si="12"/>
        <v>0</v>
      </c>
      <c r="DQ18" s="356">
        <f t="shared" si="16"/>
        <v>0</v>
      </c>
      <c r="DR18" s="356">
        <f t="shared" si="20"/>
        <v>0</v>
      </c>
      <c r="DS18" s="356">
        <f t="shared" si="24"/>
        <v>0</v>
      </c>
      <c r="DT18" s="356">
        <f t="shared" si="28"/>
        <v>0</v>
      </c>
      <c r="DU18" s="356">
        <f t="shared" si="32"/>
        <v>0</v>
      </c>
      <c r="DV18" s="356">
        <f t="shared" si="36"/>
        <v>0</v>
      </c>
      <c r="DW18" s="356">
        <f t="shared" si="40"/>
        <v>0</v>
      </c>
      <c r="DX18" s="356">
        <f t="shared" si="44"/>
        <v>0</v>
      </c>
      <c r="DY18" s="356">
        <f t="shared" si="48"/>
        <v>0</v>
      </c>
      <c r="DZ18" s="356">
        <f t="shared" ref="DZ18:DZ31" si="52">IF($C18=0,0,IF(DZ17+$F18*(CZ18-CZ17)*Remplissage_du_brin_descendant/100+$H18&gt;=Durée_maximale_d_évacuation,Durée_maximale_d_évacuation,IF(DZ17+$F18*(CZ18-CZ17)*Remplissage_du_brin_descendant/100+$G18+$F19*(CZ19-CZ18)*Remplissage_du_brin_descendant/100+$H19&gt;=Durée_maximale_d_évacuation,DZ17+$F18*(CZ18-CZ17)*Remplissage_du_brin_descendant/100+$H18,DZ17+$F18*(CZ18-CZ17)*Remplissage_du_brin_descendant/100+$G18)))</f>
        <v>0</v>
      </c>
      <c r="EA18" s="356">
        <f>IF($C18=0,0,IF($E18+$F18*DA18*Remplissage_du_brin_descendant/100+$G18+($F19-$F18)*DA19*Remplissage_du_brin_descendant/100+$H19&gt;=Durée_maximale_d_évacuation,$E18+$F18*DA18*Remplissage_du_brin_descendant/100+$H18,$E18+$F18*DA18*Remplissage_du_brin_descendant/100+$G18))</f>
        <v>0</v>
      </c>
      <c r="EB18" s="357"/>
      <c r="EC18" s="357"/>
      <c r="ED18" s="357"/>
      <c r="EE18" s="357"/>
      <c r="EF18" s="357"/>
      <c r="EG18" s="357"/>
      <c r="EH18" s="357"/>
      <c r="EI18" s="357"/>
      <c r="EJ18" s="357"/>
      <c r="EK18" s="357"/>
      <c r="EL18" s="357"/>
      <c r="EM18" s="357"/>
      <c r="EN18" s="357"/>
      <c r="EO18" s="224">
        <f t="shared" si="6"/>
        <v>0</v>
      </c>
      <c r="EP18" s="224">
        <f t="shared" si="13"/>
        <v>0</v>
      </c>
      <c r="EQ18" s="224">
        <f t="shared" si="17"/>
        <v>0</v>
      </c>
      <c r="ER18" s="224">
        <f t="shared" si="21"/>
        <v>0</v>
      </c>
      <c r="ES18" s="224">
        <f t="shared" si="25"/>
        <v>0</v>
      </c>
      <c r="ET18" s="224">
        <f t="shared" si="29"/>
        <v>0</v>
      </c>
      <c r="EU18" s="224">
        <f t="shared" si="33"/>
        <v>0</v>
      </c>
      <c r="EV18" s="224">
        <f t="shared" si="37"/>
        <v>0</v>
      </c>
      <c r="EW18" s="224">
        <f t="shared" si="41"/>
        <v>0</v>
      </c>
      <c r="EX18" s="224">
        <f t="shared" si="45"/>
        <v>0</v>
      </c>
      <c r="EY18" s="224">
        <f t="shared" si="49"/>
        <v>0</v>
      </c>
      <c r="EZ18" s="224">
        <f t="shared" ref="EZ18:EZ31" si="53">IF(OR(EY18=1,EZ17=0),0,IF(CZ18=0,0,IF(CZ18&lt;NMaxSiègeEquipe*(1+(100-Remplissage_du_brin_descendant)*0.005)+1,IF(DZ18&lt;Durée_maximale_d_évacuation,1,0),0)))</f>
        <v>0</v>
      </c>
      <c r="FA18" s="224">
        <f>IF(SUM(EO18:EZ18)&gt;0,0,IF(DA18=0,0,IF(DA18&lt;NMaxSiègeEquipe*(1+(100-Remplissage_du_brin_descendant)*0.005)+1,IF(EA18&lt;Durée_maximale_d_évacuation,1,0),0)))</f>
        <v>0</v>
      </c>
      <c r="FB18" s="225"/>
      <c r="FC18" s="225"/>
      <c r="FD18" s="225"/>
      <c r="FE18" s="225"/>
      <c r="FF18" s="225"/>
      <c r="FG18" s="225"/>
      <c r="FH18" s="225"/>
      <c r="FI18" s="225"/>
      <c r="FJ18" s="225"/>
      <c r="FK18" s="225"/>
      <c r="FL18" s="225"/>
      <c r="FM18" s="225"/>
      <c r="FN18" s="225"/>
      <c r="FO18" s="332">
        <f t="shared" si="7"/>
        <v>0</v>
      </c>
      <c r="FP18" s="236">
        <f t="shared" si="8"/>
        <v>0</v>
      </c>
      <c r="FQ18" s="238">
        <f t="shared" si="9"/>
        <v>0</v>
      </c>
      <c r="FR18" s="224">
        <f>IF(Remplissage_du_brin_descendant=0,0,IF(12&gt;NBPylône,"",IF(SUM(EO18:EZ18)=1,FR17,FR17+1)))</f>
        <v>0</v>
      </c>
    </row>
    <row r="19" spans="1:174" x14ac:dyDescent="0.2">
      <c r="A19" s="62" t="str">
        <f>'     2-DL     '!C21</f>
        <v/>
      </c>
      <c r="B19" s="65" t="str">
        <f>'     2-DL     '!D21</f>
        <v/>
      </c>
      <c r="C19" s="63">
        <f>IF(B19="",0,'     2-DL     '!E21)</f>
        <v>0</v>
      </c>
      <c r="D19" s="66"/>
      <c r="E19" s="4">
        <f>IF(C19=0,0,'     2-DL     '!F21)</f>
        <v>0</v>
      </c>
      <c r="F19" s="4">
        <f>IF(C19=0,0,IF(S_TempsEvacuationVehicule=1,A_TempsEvacuationVéhicule,'     2-DL     '!H21))</f>
        <v>0</v>
      </c>
      <c r="G19" s="4">
        <f>IF(C19=0,0,IF(S_TempsAccèsPortéeSuivante=1,A_TempsAccèsPortéeSuivante,'     2-DL     '!J21))</f>
        <v>0</v>
      </c>
      <c r="H19" s="4">
        <f>IF(C19=0,0,'     2-DL     '!L21)</f>
        <v>0</v>
      </c>
      <c r="I19" s="66"/>
      <c r="J19" s="236">
        <f>IF($C19=0,0,IF(ROUNDDOWN(SUM($C$6:C19)/Espacement_Véhicules+1,0)&gt;NMaxSiègeEquipe*(1+(100-Remplissage_du_brin_montant)*0.005),NMaxSiègeEquipe*(1+(100-Remplissage_du_brin_montant)*0.005) +1,ROUNDDOWN(SUM($C$6:C19)/Espacement_Véhicules+1,0)))</f>
        <v>0</v>
      </c>
      <c r="K19" s="236">
        <f>IF($C19=0,0,IF(ROUNDDOWN(SUM($C$7:C19)/Espacement_Véhicules+1,0)&gt;NMaxSiègeEquipe*(1+(100-Remplissage_du_brin_montant)*0.005),NMaxSiègeEquipe*(1+(100-Remplissage_du_brin_montant)*0.005) +1,ROUNDDOWN(SUM($C$7:C19)/Espacement_Véhicules+1,0)))</f>
        <v>0</v>
      </c>
      <c r="L19" s="236">
        <f>IF($C19=0,0,IF(ROUNDDOWN(SUM($C$8:C19)/Espacement_Véhicules+1,0)&gt;NMaxSiègeEquipe*(1+(100-Remplissage_du_brin_montant)*0.005),NMaxSiègeEquipe*(1+(100-Remplissage_du_brin_montant)*0.005) +1,ROUNDDOWN(SUM($C$8:C19)/Espacement_Véhicules+1,0)))</f>
        <v>0</v>
      </c>
      <c r="M19" s="236">
        <f>IF($C19=0,0,IF(ROUNDDOWN(SUM($C$9:C19)/Espacement_Véhicules+1,0)&gt;NMaxSiègeEquipe*(1+(100-Remplissage_du_brin_montant)*0.005),NMaxSiègeEquipe*(1+(100-Remplissage_du_brin_montant)*0.005) +1,ROUNDDOWN(SUM($C$9:C19)/Espacement_Véhicules+1,0)))</f>
        <v>0</v>
      </c>
      <c r="N19" s="236">
        <f>IF($C19=0,0,IF(ROUNDDOWN(SUM($C10:$C19)/Espacement_Véhicules+1,0)&gt;NMaxSiègeEquipe*(1+(100-Remplissage_du_brin_montant)*0.005),NMaxSiègeEquipe +1,ROUNDDOWN(SUM($C10:$C19)/Espacement_Véhicules+1,0)))</f>
        <v>0</v>
      </c>
      <c r="O19" s="236">
        <f>IF($C19=0,0,IF(ROUNDDOWN(SUM($C18:C19)/Espacement_Véhicules+1,0)&gt;NMaxSiègeEquipe*(1+(100-Remplissage_du_brin_montant)*0.005),NMaxSiègeEquipe*(1+(100-Remplissage_du_brin_montant)*0.005) +1,ROUNDDOWN(SUM($C$11:C19)/Espacement_Véhicules+1,0)))</f>
        <v>0</v>
      </c>
      <c r="P19" s="236">
        <f>IF($C19=0,0,IF(ROUNDDOWN(SUM($C$12:C19)/Espacement_Véhicules+1,0)&gt;NMaxSiègeEquipe*(1+(100-Remplissage_du_brin_montant)*0.005),NMaxSiègeEquipe*(1+(100-Remplissage_du_brin_montant)*0.005) +1,ROUNDDOWN(SUM($C$12:C19)/Espacement_Véhicules+1,0)))</f>
        <v>0</v>
      </c>
      <c r="Q19" s="236">
        <f>IF($C19=0,0,IF(ROUNDDOWN(SUM($C$13:C19)/Espacement_Véhicules+1,0)&gt;NMaxSiègeEquipe*(1+(100-Remplissage_du_brin_montant)*0.005),NMaxSiègeEquipe*(1+(100-Remplissage_du_brin_montant)*0.005) +1,ROUNDDOWN(SUM($C$13:C19)/Espacement_Véhicules+1,0)))</f>
        <v>0</v>
      </c>
      <c r="R19" s="236">
        <f>IF($C19=0,0,IF(ROUNDDOWN(SUM($C$14:C19)/Espacement_Véhicules+1,0)&gt;NMaxSiègeEquipe*(1+(100-Remplissage_du_brin_montant)*0.005),NMaxSiègeEquipe*(1+(100-Remplissage_du_brin_montant)*0.005) +1,ROUNDDOWN(SUM($C$14:C19)/Espacement_Véhicules+1,0)))</f>
        <v>0</v>
      </c>
      <c r="S19" s="236">
        <f>IF($C19=0,0,IF(ROUNDDOWN(SUM($C$15:C19)/Espacement_Véhicules+1,0)&gt;NMaxSiègeEquipe*(1+(100-Remplissage_du_brin_montant)*0.005),NMaxSiègeEquipe*(1+(100-Remplissage_du_brin_montant)*0.005) +1,ROUNDDOWN(SUM($C$15:C19)/Espacement_Véhicules+1,0)))</f>
        <v>0</v>
      </c>
      <c r="T19" s="236">
        <f>IF($C19=0,0,IF(ROUNDDOWN(SUM($C$16:C19)/Espacement_Véhicules+1,0)&gt;NMaxSiègeEquipe*(1+(100-Remplissage_du_brin_montant)*0.005),NMaxSiègeEquipe*(1+(100-Remplissage_du_brin_montant)*0.005) +1,ROUNDDOWN(SUM($C$16:C19)/Espacement_Véhicules+1,0)))</f>
        <v>0</v>
      </c>
      <c r="U19" s="236">
        <f>IF($C19=0,0,IF(ROUNDDOWN(SUM($C$17:C19)/Espacement_Véhicules+1,0)&gt;NMaxSiègeEquipe*(1+(100-Remplissage_du_brin_montant)*0.005),NMaxSiègeEquipe*(1+(100-Remplissage_du_brin_montant)*0.005) +1,ROUNDDOWN(SUM($C$17:C19)/Espacement_Véhicules+1,0)))</f>
        <v>0</v>
      </c>
      <c r="V19" s="236">
        <f>IF($C19=0,0,IF(ROUNDDOWN(SUM($C$18:C19)/Espacement_Véhicules+1,0)&gt;NMaxSiègeEquipe*(1+(100-Remplissage_du_brin_montant)*0.005),NMaxSiègeEquipe*(1+(100-Remplissage_du_brin_montant)*0.005) +1,ROUNDDOWN(SUM($C$18:C19)/Espacement_Véhicules+1,0)))</f>
        <v>0</v>
      </c>
      <c r="W19" s="236">
        <f>IF($C19=0,0,ROUNDDOWN($C19/Espacement_Véhicules+1,0))</f>
        <v>0</v>
      </c>
      <c r="X19" s="350"/>
      <c r="Y19" s="350"/>
      <c r="Z19" s="350"/>
      <c r="AA19" s="350"/>
      <c r="AB19" s="350"/>
      <c r="AC19" s="350"/>
      <c r="AD19" s="350"/>
      <c r="AE19" s="350"/>
      <c r="AF19" s="350"/>
      <c r="AG19" s="350"/>
      <c r="AH19" s="350"/>
      <c r="AI19" s="350"/>
      <c r="AJ19" s="356">
        <f t="shared" si="0"/>
        <v>0</v>
      </c>
      <c r="AK19" s="356">
        <f t="shared" si="10"/>
        <v>0</v>
      </c>
      <c r="AL19" s="356">
        <f t="shared" si="14"/>
        <v>0</v>
      </c>
      <c r="AM19" s="356">
        <f t="shared" si="18"/>
        <v>0</v>
      </c>
      <c r="AN19" s="356">
        <f t="shared" si="22"/>
        <v>0</v>
      </c>
      <c r="AO19" s="356">
        <f t="shared" si="26"/>
        <v>0</v>
      </c>
      <c r="AP19" s="356">
        <f t="shared" si="30"/>
        <v>0</v>
      </c>
      <c r="AQ19" s="356">
        <f t="shared" si="34"/>
        <v>0</v>
      </c>
      <c r="AR19" s="356">
        <f t="shared" si="38"/>
        <v>0</v>
      </c>
      <c r="AS19" s="356">
        <f t="shared" si="42"/>
        <v>0</v>
      </c>
      <c r="AT19" s="356">
        <f t="shared" si="46"/>
        <v>0</v>
      </c>
      <c r="AU19" s="356">
        <f t="shared" si="50"/>
        <v>0</v>
      </c>
      <c r="AV19" s="356">
        <f t="shared" ref="AV19:AV31" si="54">IF($C19=0,0,IF(AV18+$F19*(V19-V18)*Remplissage_du_brin_montant/100+$H19&gt;=Durée_maximale_d_évacuation,Durée_maximale_d_évacuation,IF(AV18+$F19*(V19-V18)*Remplissage_du_brin_montant/100+$G19+$F20*(V20-V19)*Remplissage_du_brin_montant/100+$H20&gt;=Durée_maximale_d_évacuation,AV18+$F19*(V19-V18)*Remplissage_du_brin_montant/100+$H19,AV18+$F19*(V19-V18)*Remplissage_du_brin_montant/100+$G19)))</f>
        <v>0</v>
      </c>
      <c r="AW19" s="356">
        <f>IF($C19=0,0,IF($E19+$F19*W19*Remplissage_du_brin_montant/100+$G19+($F20-$F19)*W20*Remplissage_du_brin_montant/100+$H20&gt;=Durée_maximale_d_évacuation,$E19+$F19*W19*Remplissage_du_brin_montant/100+$H19,$E19+$F19*W19*Remplissage_du_brin_montant/100+$G19))</f>
        <v>0</v>
      </c>
      <c r="AX19" s="357"/>
      <c r="AY19" s="357"/>
      <c r="AZ19" s="357"/>
      <c r="BA19" s="357"/>
      <c r="BB19" s="357"/>
      <c r="BC19" s="357"/>
      <c r="BD19" s="357"/>
      <c r="BE19" s="357"/>
      <c r="BF19" s="357"/>
      <c r="BG19" s="357"/>
      <c r="BH19" s="357"/>
      <c r="BI19" s="357"/>
      <c r="BJ19" s="224">
        <f t="shared" si="1"/>
        <v>0</v>
      </c>
      <c r="BK19" s="224">
        <f t="shared" si="11"/>
        <v>0</v>
      </c>
      <c r="BL19" s="224">
        <f t="shared" si="15"/>
        <v>0</v>
      </c>
      <c r="BM19" s="224">
        <f t="shared" si="19"/>
        <v>0</v>
      </c>
      <c r="BN19" s="224">
        <f t="shared" si="23"/>
        <v>0</v>
      </c>
      <c r="BO19" s="224">
        <f t="shared" si="27"/>
        <v>0</v>
      </c>
      <c r="BP19" s="224">
        <f t="shared" si="31"/>
        <v>0</v>
      </c>
      <c r="BQ19" s="224">
        <f t="shared" si="35"/>
        <v>0</v>
      </c>
      <c r="BR19" s="224">
        <f t="shared" si="39"/>
        <v>0</v>
      </c>
      <c r="BS19" s="224">
        <f t="shared" si="43"/>
        <v>0</v>
      </c>
      <c r="BT19" s="224">
        <f t="shared" si="47"/>
        <v>0</v>
      </c>
      <c r="BU19" s="224">
        <f t="shared" si="51"/>
        <v>0</v>
      </c>
      <c r="BV19" s="224">
        <f t="shared" ref="BV19:BV31" si="55">IF(OR(BU19=1,BV18=0),0,IF(V19=0,0,IF(V19&lt;NMaxSiègeEquipe*(1+(100-Remplissage_du_brin_montant)*0.005)+1,IF(AV19&lt;Durée_maximale_d_évacuation,1,0),0)))</f>
        <v>0</v>
      </c>
      <c r="BW19" s="224">
        <f>IF(SUM(BJ19:BV19)&gt;0,0,IF(W19=0,0,IF(W19&lt;NMaxSiègeEquipe*(1+(100-Remplissage_du_brin_montant)*0.005)+1,IF(AW19&lt;Durée_maximale_d_évacuation,1,0),0)))</f>
        <v>0</v>
      </c>
      <c r="BX19" s="225"/>
      <c r="BY19" s="225"/>
      <c r="BZ19" s="225"/>
      <c r="CA19" s="225"/>
      <c r="CB19" s="225"/>
      <c r="CC19" s="225"/>
      <c r="CD19" s="225"/>
      <c r="CE19" s="225"/>
      <c r="CF19" s="225"/>
      <c r="CG19" s="225"/>
      <c r="CH19" s="225"/>
      <c r="CI19" s="225"/>
      <c r="CJ19" s="332">
        <f t="shared" si="2"/>
        <v>0</v>
      </c>
      <c r="CK19" s="236">
        <f t="shared" si="3"/>
        <v>0</v>
      </c>
      <c r="CL19" s="238">
        <f t="shared" si="4"/>
        <v>0</v>
      </c>
      <c r="CM19" s="224">
        <f>IF(Remplissage_du_brin_montant=0,0,IF(13&gt;NBPylône,"",IF(SUM(BJ19:BV19)=1,CM18,CM18+1)))</f>
        <v>0</v>
      </c>
      <c r="CN19" s="17"/>
      <c r="CO19" s="236">
        <f>IF(C19=0,0,IF(ROUNDDOWN(SUM($C$6:C19)/Espacement_Véhicules+1,0)&gt;NMaxSiègeEquipe*(1+(100-Remplissage_du_brin_descendant)*0.005),NMaxSiègeEquipe*(1+(100-Remplissage_du_brin_descendant)*0.005) +1,ROUNDDOWN(SUM($C$6:C19)/Espacement_Véhicules+1,0)))</f>
        <v>0</v>
      </c>
      <c r="CP19" s="236">
        <f>IF($C19=0,0,IF(ROUNDDOWN(SUM($C$7:C19)/Espacement_Véhicules+1,0)&gt;NMaxSiègeEquipe*(1+(100-Remplissage_du_brin_descendant)*0.005),NMaxSiègeEquipe*(1+(100-Remplissage_du_brin_descendant)*0.005) +1,ROUNDDOWN(SUM($C$7:C19)/Espacement_Véhicules+1,0)))</f>
        <v>0</v>
      </c>
      <c r="CQ19" s="236">
        <f>IF($C19=0,0,IF(ROUNDDOWN(SUM($C$8:C19)/Espacement_Véhicules+1,0)&gt;NMaxSiègeEquipe*(1+(100-Remplissage_du_brin_descendant)*0.005),NMaxSiègeEquipe*(1+(100-Remplissage_du_brin_descendant)*0.005) +1,ROUNDDOWN(SUM($C$8:C19)/Espacement_Véhicules+1,0)))</f>
        <v>0</v>
      </c>
      <c r="CR19" s="236">
        <f>IF($C19=0,0,IF(ROUNDDOWN(SUM($C$9:C19)/Espacement_Véhicules+1,0)&gt;NMaxSiègeEquipe*(1+(100-Remplissage_du_brin_descendant)*0.005),NMaxSiègeEquipe*(1+(100-Remplissage_du_brin_descendant)*0.005) +1,ROUNDDOWN(SUM($C$9:C19)/Espacement_Véhicules+1,0)))</f>
        <v>0</v>
      </c>
      <c r="CS19" s="236">
        <f>IF($C19=0,0,IF(ROUNDDOWN(SUM($C$10:C19)/Espacement_Véhicules+1,0)&gt;NMaxSiègeEquipe*(1+(100-Remplissage_du_brin_descendant)*0.005),NMaxSiègeEquipe*(1+(100-Remplissage_du_brin_descendant)*0.005) +1,ROUNDDOWN(SUM($C$10:C19)/Espacement_Véhicules+1,0)))</f>
        <v>0</v>
      </c>
      <c r="CT19" s="236">
        <f>IF($C19=0,0,IF(ROUNDDOWN(SUM($C$11:C19)/Espacement_Véhicules+1,0)&gt;NMaxSiègeEquipe*(1+(100-Remplissage_du_brin_descendant)*0.005),NMaxSiègeEquipe*(1+(100-Remplissage_du_brin_descendant)*0.005) +1,ROUNDDOWN(SUM($C$11:C19)/Espacement_Véhicules+1,0)))</f>
        <v>0</v>
      </c>
      <c r="CU19" s="236">
        <f>IF($C19=0,0,IF(ROUNDDOWN(SUM($C$12:C19)/Espacement_Véhicules+1,0)&gt;NMaxSiègeEquipe*(1+(100-Remplissage_du_brin_descendant)*0.005),NMaxSiègeEquipe*(1+(100-Remplissage_du_brin_descendant)*0.005) +1,ROUNDDOWN(SUM($C$12:C19)/Espacement_Véhicules+1,0)))</f>
        <v>0</v>
      </c>
      <c r="CV19" s="236">
        <f>IF($C19=0,0,IF(ROUNDDOWN(SUM($C$13:C19)/Espacement_Véhicules+1,0)&gt;NMaxSiègeEquipe*(1+(100-Remplissage_du_brin_descendant)*0.005),NMaxSiègeEquipe*(1+(100-Remplissage_du_brin_descendant)*0.005) +1,ROUNDDOWN(SUM($C$13:C19)/Espacement_Véhicules+1,0)))</f>
        <v>0</v>
      </c>
      <c r="CW19" s="236">
        <f>IF($C19=0,0,IF(ROUNDDOWN(SUM($C$14:C19)/Espacement_Véhicules+1,0)&gt;NMaxSiègeEquipe*(1+(100-Remplissage_du_brin_descendant)*0.005),NMaxSiègeEquipe*(1+(100-Remplissage_du_brin_descendant)*0.005) +1,ROUNDDOWN(SUM($C$14:C19)/Espacement_Véhicules+1,0)))</f>
        <v>0</v>
      </c>
      <c r="CX19" s="236">
        <f>IF($C19=0,0,IF(ROUNDDOWN(SUM($C$15:C19)/Espacement_Véhicules+1,0)&gt;NMaxSiègeEquipe*(1+(100-Remplissage_du_brin_descendant)*0.005),NMaxSiègeEquipe*(1+(100-Remplissage_du_brin_descendant)*0.005) +1,ROUNDDOWN(SUM($C$15:C19)/Espacement_Véhicules+1,0)))</f>
        <v>0</v>
      </c>
      <c r="CY19" s="236">
        <f>IF($C19=0,0,IF(ROUNDDOWN(SUM($C$16:C19)/Espacement_Véhicules+1,0)&gt;NMaxSiègeEquipe*(1+(100-Remplissage_du_brin_descendant)*0.005),NMaxSiègeEquipe*(1+(100-Remplissage_du_brin_descendant)*0.005) +1,ROUNDDOWN(SUM($C$16:C19)/Espacement_Véhicules+1,0)))</f>
        <v>0</v>
      </c>
      <c r="CZ19" s="236">
        <f>IF($C19=0,0,IF(ROUNDDOWN(SUM($C$17:C19)/Espacement_Véhicules+1,0)&gt;NMaxSiègeEquipe*(1+(100-Remplissage_du_brin_descendant)*0.005),NMaxSiègeEquipe*(1+(100-Remplissage_du_brin_descendant)*0.005) +1,ROUNDDOWN(SUM($C$17:C19)/Espacement_Véhicules+1,0)))</f>
        <v>0</v>
      </c>
      <c r="DA19" s="236">
        <f>IF($C19=0,0,IF(ROUNDDOWN(SUM($C$18:C19)/Espacement_Véhicules+1,0)&gt;NMaxSiègeEquipe*(1+(100-Remplissage_du_brin_descendant)*0.005),NMaxSiègeEquipe*(1+(100-Remplissage_du_brin_descendant)*0.005) +1,ROUNDDOWN(SUM($C$18:C19)/Espacement_Véhicules+1,0)))</f>
        <v>0</v>
      </c>
      <c r="DB19" s="236">
        <f>IF($C19=0,0,ROUNDDOWN($C19/Espacement_Véhicules+1,0))</f>
        <v>0</v>
      </c>
      <c r="DC19" s="350"/>
      <c r="DD19" s="350"/>
      <c r="DE19" s="350"/>
      <c r="DF19" s="350"/>
      <c r="DG19" s="350"/>
      <c r="DH19" s="350"/>
      <c r="DI19" s="350"/>
      <c r="DJ19" s="350"/>
      <c r="DK19" s="350"/>
      <c r="DL19" s="350"/>
      <c r="DM19" s="350"/>
      <c r="DN19" s="350"/>
      <c r="DO19" s="356">
        <f t="shared" si="5"/>
        <v>0</v>
      </c>
      <c r="DP19" s="356">
        <f t="shared" si="12"/>
        <v>0</v>
      </c>
      <c r="DQ19" s="356">
        <f t="shared" si="16"/>
        <v>0</v>
      </c>
      <c r="DR19" s="356">
        <f t="shared" si="20"/>
        <v>0</v>
      </c>
      <c r="DS19" s="356">
        <f t="shared" si="24"/>
        <v>0</v>
      </c>
      <c r="DT19" s="356">
        <f t="shared" si="28"/>
        <v>0</v>
      </c>
      <c r="DU19" s="356">
        <f t="shared" si="32"/>
        <v>0</v>
      </c>
      <c r="DV19" s="356">
        <f t="shared" si="36"/>
        <v>0</v>
      </c>
      <c r="DW19" s="356">
        <f t="shared" si="40"/>
        <v>0</v>
      </c>
      <c r="DX19" s="356">
        <f t="shared" si="44"/>
        <v>0</v>
      </c>
      <c r="DY19" s="356">
        <f t="shared" si="48"/>
        <v>0</v>
      </c>
      <c r="DZ19" s="356">
        <f t="shared" si="52"/>
        <v>0</v>
      </c>
      <c r="EA19" s="356">
        <f t="shared" ref="EA19:EA31" si="56">IF($C19=0,0,IF(EA18+$F19*(DA19-DA18)*Remplissage_du_brin_descendant/100+$H19&gt;=Durée_maximale_d_évacuation,Durée_maximale_d_évacuation,IF(EA18+$F19*(DA19-DA18)*Remplissage_du_brin_descendant/100+$G19+$F20*(DA20-DA19)*Remplissage_du_brin_descendant/100+$H20&gt;=Durée_maximale_d_évacuation,EA18+$F19*(DA19-DA18)*Remplissage_du_brin_descendant/100+$H19,EA18+$F19*(DA19-DA18)*Remplissage_du_brin_descendant/100+$G19)))</f>
        <v>0</v>
      </c>
      <c r="EB19" s="356">
        <f>IF($C19=0,0,IF($E19+$F19*DB19*Remplissage_du_brin_descendant/100+$G19+($F20-$F19)*DB20*Remplissage_du_brin_descendant/100+$H20&gt;=Durée_maximale_d_évacuation,$E19+$F19*DB19*Remplissage_du_brin_descendant/100+$H19,$E19+$F19*DB19*Remplissage_du_brin_descendant/100+$G19))</f>
        <v>0</v>
      </c>
      <c r="EC19" s="357"/>
      <c r="ED19" s="357"/>
      <c r="EE19" s="357"/>
      <c r="EF19" s="357"/>
      <c r="EG19" s="357"/>
      <c r="EH19" s="357"/>
      <c r="EI19" s="357"/>
      <c r="EJ19" s="357"/>
      <c r="EK19" s="357"/>
      <c r="EL19" s="357"/>
      <c r="EM19" s="357"/>
      <c r="EN19" s="357"/>
      <c r="EO19" s="224">
        <f t="shared" si="6"/>
        <v>0</v>
      </c>
      <c r="EP19" s="224">
        <f t="shared" si="13"/>
        <v>0</v>
      </c>
      <c r="EQ19" s="224">
        <f t="shared" si="17"/>
        <v>0</v>
      </c>
      <c r="ER19" s="224">
        <f t="shared" si="21"/>
        <v>0</v>
      </c>
      <c r="ES19" s="224">
        <f t="shared" si="25"/>
        <v>0</v>
      </c>
      <c r="ET19" s="224">
        <f t="shared" si="29"/>
        <v>0</v>
      </c>
      <c r="EU19" s="224">
        <f t="shared" si="33"/>
        <v>0</v>
      </c>
      <c r="EV19" s="224">
        <f t="shared" si="37"/>
        <v>0</v>
      </c>
      <c r="EW19" s="224">
        <f t="shared" si="41"/>
        <v>0</v>
      </c>
      <c r="EX19" s="224">
        <f t="shared" si="45"/>
        <v>0</v>
      </c>
      <c r="EY19" s="224">
        <f t="shared" si="49"/>
        <v>0</v>
      </c>
      <c r="EZ19" s="224">
        <f t="shared" si="53"/>
        <v>0</v>
      </c>
      <c r="FA19" s="224">
        <f t="shared" ref="FA19:FA31" si="57">IF(OR(EZ19=1,FA18=0),0,IF(DA19=0,0,IF(DA19&lt;NMaxSiègeEquipe*(1+(100-Remplissage_du_brin_descendant)*0.005)+1,IF(EA19&lt;Durée_maximale_d_évacuation,1,0),0)))</f>
        <v>0</v>
      </c>
      <c r="FB19" s="224">
        <f>IF(SUM(EO19:FA19)&gt;0,0,IF(DB19=0,0,IF(DB19&lt;NMaxSiègeEquipe*(1+(100-Remplissage_du_brin_descendant)*0.005)+1,IF(EB19&lt;Durée_maximale_d_évacuation,1,0),0)))</f>
        <v>0</v>
      </c>
      <c r="FC19" s="225"/>
      <c r="FD19" s="225"/>
      <c r="FE19" s="225"/>
      <c r="FF19" s="225"/>
      <c r="FG19" s="225"/>
      <c r="FH19" s="225"/>
      <c r="FI19" s="225"/>
      <c r="FJ19" s="225"/>
      <c r="FK19" s="225"/>
      <c r="FL19" s="225"/>
      <c r="FM19" s="225"/>
      <c r="FN19" s="225"/>
      <c r="FO19" s="332">
        <f t="shared" si="7"/>
        <v>0</v>
      </c>
      <c r="FP19" s="236">
        <f t="shared" si="8"/>
        <v>0</v>
      </c>
      <c r="FQ19" s="238">
        <f t="shared" si="9"/>
        <v>0</v>
      </c>
      <c r="FR19" s="224">
        <f>IF(Remplissage_du_brin_descendant=0,0,IF(13&gt;NBPylône,"",IF(SUM(EO19:FA19)=1,FR18,FR18+1)))</f>
        <v>0</v>
      </c>
    </row>
    <row r="20" spans="1:174" x14ac:dyDescent="0.2">
      <c r="A20" s="62" t="str">
        <f>'     2-DL     '!C22</f>
        <v/>
      </c>
      <c r="B20" s="65" t="str">
        <f>'     2-DL     '!D22</f>
        <v/>
      </c>
      <c r="C20" s="63">
        <f>IF(B20="",0,'     2-DL     '!E22)</f>
        <v>0</v>
      </c>
      <c r="D20" s="66"/>
      <c r="E20" s="4">
        <f>IF(C20=0,0,'     2-DL     '!F22)</f>
        <v>0</v>
      </c>
      <c r="F20" s="4">
        <f>IF(C20=0,0,IF(S_TempsEvacuationVehicule=1,A_TempsEvacuationVéhicule,'     2-DL     '!H22))</f>
        <v>0</v>
      </c>
      <c r="G20" s="4">
        <f>IF(C20=0,0,IF(S_TempsAccèsPortéeSuivante=1,A_TempsAccèsPortéeSuivante,'     2-DL     '!J22))</f>
        <v>0</v>
      </c>
      <c r="H20" s="4">
        <f>IF(C20=0,0,'     2-DL     '!L22)</f>
        <v>0</v>
      </c>
      <c r="I20" s="66"/>
      <c r="J20" s="236">
        <f>IF($C20=0,0,IF(ROUNDDOWN(SUM($C$6:C20)/Espacement_Véhicules+1,0)&gt;NMaxSiègeEquipe*(1+(100-Remplissage_du_brin_montant)*0.005),NMaxSiègeEquipe*(1+(100-Remplissage_du_brin_montant)*0.005) +1,ROUNDDOWN(SUM($C$6:C20)/Espacement_Véhicules+1,0)))</f>
        <v>0</v>
      </c>
      <c r="K20" s="236">
        <f>IF($C20=0,0,IF(ROUNDDOWN(SUM($C$7:C20)/Espacement_Véhicules+1,0)&gt;NMaxSiègeEquipe*(1+(100-Remplissage_du_brin_montant)*0.005),NMaxSiègeEquipe*(1+(100-Remplissage_du_brin_montant)*0.005) +1,ROUNDDOWN(SUM($C$7:C20)/Espacement_Véhicules+1,0)))</f>
        <v>0</v>
      </c>
      <c r="L20" s="236">
        <f>IF($C20=0,0,IF(ROUNDDOWN(SUM($C$8:C20)/Espacement_Véhicules+1,0)&gt;NMaxSiègeEquipe*(1+(100-Remplissage_du_brin_montant)*0.005),NMaxSiègeEquipe*(1+(100-Remplissage_du_brin_montant)*0.005) +1,ROUNDDOWN(SUM($C$8:C20)/Espacement_Véhicules+1,0)))</f>
        <v>0</v>
      </c>
      <c r="M20" s="236">
        <f>IF($C20=0,0,IF(ROUNDDOWN(SUM($C$9:C20)/Espacement_Véhicules+1,0)&gt;NMaxSiègeEquipe*(1+(100-Remplissage_du_brin_montant)*0.005),NMaxSiègeEquipe*(1+(100-Remplissage_du_brin_montant)*0.005) +1,ROUNDDOWN(SUM($C$9:C20)/Espacement_Véhicules+1,0)))</f>
        <v>0</v>
      </c>
      <c r="N20" s="236">
        <f>IF($C20=0,0,IF(ROUNDDOWN(SUM($C10:$C20)/Espacement_Véhicules+1,0)&gt;NMaxSiègeEquipe*(1+(100-Remplissage_du_brin_montant)*0.005),NMaxSiègeEquipe +1,ROUNDDOWN(SUM($C10:$C20)/Espacement_Véhicules+1,0)))</f>
        <v>0</v>
      </c>
      <c r="O20" s="236">
        <f>IF($C20=0,0,IF(ROUNDDOWN(SUM($C19:C20)/Espacement_Véhicules+1,0)&gt;NMaxSiègeEquipe*(1+(100-Remplissage_du_brin_montant)*0.005),NMaxSiègeEquipe*(1+(100-Remplissage_du_brin_montant)*0.005) +1,ROUNDDOWN(SUM($C$11:C20)/Espacement_Véhicules+1,0)))</f>
        <v>0</v>
      </c>
      <c r="P20" s="236">
        <f>IF($C20=0,0,IF(ROUNDDOWN(SUM($C$12:C20)/Espacement_Véhicules+1,0)&gt;NMaxSiègeEquipe*(1+(100-Remplissage_du_brin_montant)*0.005),NMaxSiègeEquipe*(1+(100-Remplissage_du_brin_montant)*0.005) +1,ROUNDDOWN(SUM($C$12:C20)/Espacement_Véhicules+1,0)))</f>
        <v>0</v>
      </c>
      <c r="Q20" s="236">
        <f>IF($C20=0,0,IF(ROUNDDOWN(SUM($C$13:C20)/Espacement_Véhicules+1,0)&gt;NMaxSiègeEquipe*(1+(100-Remplissage_du_brin_montant)*0.005),NMaxSiègeEquipe*(1+(100-Remplissage_du_brin_montant)*0.005) +1,ROUNDDOWN(SUM($C$13:C20)/Espacement_Véhicules+1,0)))</f>
        <v>0</v>
      </c>
      <c r="R20" s="236">
        <f>IF($C20=0,0,IF(ROUNDDOWN(SUM($C$14:C20)/Espacement_Véhicules+1,0)&gt;NMaxSiègeEquipe*(1+(100-Remplissage_du_brin_montant)*0.005),NMaxSiègeEquipe*(1+(100-Remplissage_du_brin_montant)*0.005) +1,ROUNDDOWN(SUM($C$14:C20)/Espacement_Véhicules+1,0)))</f>
        <v>0</v>
      </c>
      <c r="S20" s="236">
        <f>IF($C20=0,0,IF(ROUNDDOWN(SUM($C$15:C20)/Espacement_Véhicules+1,0)&gt;NMaxSiègeEquipe*(1+(100-Remplissage_du_brin_montant)*0.005),NMaxSiègeEquipe*(1+(100-Remplissage_du_brin_montant)*0.005) +1,ROUNDDOWN(SUM($C$15:C20)/Espacement_Véhicules+1,0)))</f>
        <v>0</v>
      </c>
      <c r="T20" s="236">
        <f>IF($C20=0,0,IF(ROUNDDOWN(SUM($C$16:C20)/Espacement_Véhicules+1,0)&gt;NMaxSiègeEquipe*(1+(100-Remplissage_du_brin_montant)*0.005),NMaxSiègeEquipe*(1+(100-Remplissage_du_brin_montant)*0.005) +1,ROUNDDOWN(SUM($C$16:C20)/Espacement_Véhicules+1,0)))</f>
        <v>0</v>
      </c>
      <c r="U20" s="236">
        <f>IF($C20=0,0,IF(ROUNDDOWN(SUM($C$17:C20)/Espacement_Véhicules+1,0)&gt;NMaxSiègeEquipe*(1+(100-Remplissage_du_brin_montant)*0.005),NMaxSiègeEquipe*(1+(100-Remplissage_du_brin_montant)*0.005) +1,ROUNDDOWN(SUM($C$17:C20)/Espacement_Véhicules+1,0)))</f>
        <v>0</v>
      </c>
      <c r="V20" s="236">
        <f>IF($C20=0,0,IF(ROUNDDOWN(SUM($C$18:C20)/Espacement_Véhicules+1,0)&gt;NMaxSiègeEquipe*(1+(100-Remplissage_du_brin_montant)*0.005),NMaxSiègeEquipe*(1+(100-Remplissage_du_brin_montant)*0.005) +1,ROUNDDOWN(SUM($C$18:C20)/Espacement_Véhicules+1,0)))</f>
        <v>0</v>
      </c>
      <c r="W20" s="236">
        <f>IF($C20=0,0,IF(ROUNDDOWN(SUM($C$19:C20)/Espacement_Véhicules+1,0)&gt;NMaxSiègeEquipe*(1+(100-Remplissage_du_brin_montant)*0.005),NMaxSiègeEquipe*(1+(100-Remplissage_du_brin_montant)*0.005) +1,ROUNDDOWN(SUM($C$19:C20)/Espacement_Véhicules+1,0)))</f>
        <v>0</v>
      </c>
      <c r="X20" s="236">
        <f>IF($C20=0,0,ROUNDDOWN($C20/Espacement_Véhicules+1,0))</f>
        <v>0</v>
      </c>
      <c r="Y20" s="350"/>
      <c r="Z20" s="350"/>
      <c r="AA20" s="350"/>
      <c r="AB20" s="350"/>
      <c r="AC20" s="350"/>
      <c r="AD20" s="350"/>
      <c r="AE20" s="350"/>
      <c r="AF20" s="350"/>
      <c r="AG20" s="350"/>
      <c r="AH20" s="350"/>
      <c r="AI20" s="350"/>
      <c r="AJ20" s="356">
        <f t="shared" si="0"/>
        <v>0</v>
      </c>
      <c r="AK20" s="356">
        <f t="shared" si="10"/>
        <v>0</v>
      </c>
      <c r="AL20" s="356">
        <f t="shared" si="14"/>
        <v>0</v>
      </c>
      <c r="AM20" s="356">
        <f t="shared" si="18"/>
        <v>0</v>
      </c>
      <c r="AN20" s="356">
        <f t="shared" si="22"/>
        <v>0</v>
      </c>
      <c r="AO20" s="356">
        <f t="shared" si="26"/>
        <v>0</v>
      </c>
      <c r="AP20" s="356">
        <f t="shared" si="30"/>
        <v>0</v>
      </c>
      <c r="AQ20" s="356">
        <f t="shared" si="34"/>
        <v>0</v>
      </c>
      <c r="AR20" s="356">
        <f t="shared" si="38"/>
        <v>0</v>
      </c>
      <c r="AS20" s="356">
        <f t="shared" si="42"/>
        <v>0</v>
      </c>
      <c r="AT20" s="356">
        <f t="shared" si="46"/>
        <v>0</v>
      </c>
      <c r="AU20" s="356">
        <f t="shared" si="50"/>
        <v>0</v>
      </c>
      <c r="AV20" s="356">
        <f t="shared" si="54"/>
        <v>0</v>
      </c>
      <c r="AW20" s="356">
        <f t="shared" ref="AW20:AW31" si="58">IF($C20=0,0,IF(AW19+$F20*(W20-W19)*Remplissage_du_brin_montant/100+$H20&gt;=Durée_maximale_d_évacuation,Durée_maximale_d_évacuation,IF(AW19+$F20*(W20-W19)*Remplissage_du_brin_montant/100+$G20+$F21*(W21-W20)*Remplissage_du_brin_montant/100+$H21&gt;=Durée_maximale_d_évacuation,AW19+$F20*(W20-W19)*Remplissage_du_brin_montant/100+$H20,AW19+$F20*(W20-W19)*Remplissage_du_brin_montant/100+$G20)))</f>
        <v>0</v>
      </c>
      <c r="AX20" s="356">
        <f>IF($C20=0,0,IF($E20+$F20*X20*Remplissage_du_brin_montant/100+$G20+($F21-$F20)*X21*Remplissage_du_brin_montant/100+$H21&gt;=Durée_maximale_d_évacuation,$E20+$F20*X20*Remplissage_du_brin_montant/100+$H20,$E20+$F20*X20*Remplissage_du_brin_montant/100+$G20))</f>
        <v>0</v>
      </c>
      <c r="AY20" s="357"/>
      <c r="AZ20" s="357"/>
      <c r="BA20" s="357"/>
      <c r="BB20" s="357"/>
      <c r="BC20" s="357"/>
      <c r="BD20" s="357"/>
      <c r="BE20" s="357"/>
      <c r="BF20" s="357"/>
      <c r="BG20" s="357"/>
      <c r="BH20" s="357"/>
      <c r="BI20" s="357"/>
      <c r="BJ20" s="224">
        <f t="shared" si="1"/>
        <v>0</v>
      </c>
      <c r="BK20" s="224">
        <f t="shared" si="11"/>
        <v>0</v>
      </c>
      <c r="BL20" s="224">
        <f t="shared" si="15"/>
        <v>0</v>
      </c>
      <c r="BM20" s="224">
        <f t="shared" si="19"/>
        <v>0</v>
      </c>
      <c r="BN20" s="224">
        <f t="shared" si="23"/>
        <v>0</v>
      </c>
      <c r="BO20" s="224">
        <f t="shared" si="27"/>
        <v>0</v>
      </c>
      <c r="BP20" s="224">
        <f t="shared" si="31"/>
        <v>0</v>
      </c>
      <c r="BQ20" s="224">
        <f t="shared" si="35"/>
        <v>0</v>
      </c>
      <c r="BR20" s="224">
        <f t="shared" si="39"/>
        <v>0</v>
      </c>
      <c r="BS20" s="224">
        <f t="shared" si="43"/>
        <v>0</v>
      </c>
      <c r="BT20" s="224">
        <f t="shared" si="47"/>
        <v>0</v>
      </c>
      <c r="BU20" s="224">
        <f t="shared" si="51"/>
        <v>0</v>
      </c>
      <c r="BV20" s="224">
        <f t="shared" si="55"/>
        <v>0</v>
      </c>
      <c r="BW20" s="224">
        <f t="shared" ref="BW20:BW31" si="59">IF(OR(BV20=1,BW19=0),0,IF(W20=0,0,IF(W20&lt;NMaxSiègeEquipe*(1+(100-Remplissage_du_brin_montant)*0.005)+1,IF(AW20&lt;Durée_maximale_d_évacuation,1,0),0)))</f>
        <v>0</v>
      </c>
      <c r="BX20" s="224">
        <f>IF(SUM(BJ20:BW20)&gt;0,0,IF(X20=0,0,IF(X20&lt;NMaxSiègeEquipe*(1+(100-Remplissage_du_brin_montant)*0.005)+1,IF(AX20&lt;Durée_maximale_d_évacuation,1,0),0)))</f>
        <v>0</v>
      </c>
      <c r="BY20" s="225"/>
      <c r="BZ20" s="225"/>
      <c r="CA20" s="225"/>
      <c r="CB20" s="225"/>
      <c r="CC20" s="225"/>
      <c r="CD20" s="225"/>
      <c r="CE20" s="225"/>
      <c r="CF20" s="225"/>
      <c r="CG20" s="225"/>
      <c r="CH20" s="225"/>
      <c r="CI20" s="225"/>
      <c r="CJ20" s="332">
        <f t="shared" si="2"/>
        <v>0</v>
      </c>
      <c r="CK20" s="236">
        <f t="shared" si="3"/>
        <v>0</v>
      </c>
      <c r="CL20" s="238">
        <f t="shared" si="4"/>
        <v>0</v>
      </c>
      <c r="CM20" s="224">
        <f>IF(Remplissage_du_brin_montant=0,0,IF(14&gt;NBPylône,"",IF(SUM(BJ20:BW20)=1,CM19,CM19+1)))</f>
        <v>0</v>
      </c>
      <c r="CN20" s="17"/>
      <c r="CO20" s="236">
        <f>IF(C20=0,0,IF(ROUNDDOWN(SUM($C$6:C20)/Espacement_Véhicules+1,0)&gt;NMaxSiègeEquipe*(1+(100-Remplissage_du_brin_descendant)*0.005),NMaxSiègeEquipe*(1+(100-Remplissage_du_brin_descendant)*0.005) +1,ROUNDDOWN(SUM($C$6:C20)/Espacement_Véhicules+1,0)))</f>
        <v>0</v>
      </c>
      <c r="CP20" s="236">
        <f>IF($C20=0,0,IF(ROUNDDOWN(SUM($C$7:C20)/Espacement_Véhicules+1,0)&gt;NMaxSiègeEquipe*(1+(100-Remplissage_du_brin_descendant)*0.005),NMaxSiègeEquipe*(1+(100-Remplissage_du_brin_descendant)*0.005) +1,ROUNDDOWN(SUM($C$7:C20)/Espacement_Véhicules+1,0)))</f>
        <v>0</v>
      </c>
      <c r="CQ20" s="236">
        <f>IF($C20=0,0,IF(ROUNDDOWN(SUM($C$8:C20)/Espacement_Véhicules+1,0)&gt;NMaxSiègeEquipe*(1+(100-Remplissage_du_brin_descendant)*0.005),NMaxSiègeEquipe*(1+(100-Remplissage_du_brin_descendant)*0.005) +1,ROUNDDOWN(SUM($C$8:C20)/Espacement_Véhicules+1,0)))</f>
        <v>0</v>
      </c>
      <c r="CR20" s="236">
        <f>IF($C20=0,0,IF(ROUNDDOWN(SUM($C$9:C20)/Espacement_Véhicules+1,0)&gt;NMaxSiègeEquipe*(1+(100-Remplissage_du_brin_descendant)*0.005),NMaxSiègeEquipe*(1+(100-Remplissage_du_brin_descendant)*0.005) +1,ROUNDDOWN(SUM($C$9:C20)/Espacement_Véhicules+1,0)))</f>
        <v>0</v>
      </c>
      <c r="CS20" s="236">
        <f>IF($C20=0,0,IF(ROUNDDOWN(SUM($C$10:C20)/Espacement_Véhicules+1,0)&gt;NMaxSiègeEquipe*(1+(100-Remplissage_du_brin_descendant)*0.005),NMaxSiègeEquipe*(1+(100-Remplissage_du_brin_descendant)*0.005) +1,ROUNDDOWN(SUM($C$10:C20)/Espacement_Véhicules+1,0)))</f>
        <v>0</v>
      </c>
      <c r="CT20" s="236">
        <f>IF($C20=0,0,IF(ROUNDDOWN(SUM($C$11:C20)/Espacement_Véhicules+1,0)&gt;NMaxSiègeEquipe*(1+(100-Remplissage_du_brin_descendant)*0.005),NMaxSiègeEquipe*(1+(100-Remplissage_du_brin_descendant)*0.005) +1,ROUNDDOWN(SUM($C$11:C20)/Espacement_Véhicules+1,0)))</f>
        <v>0</v>
      </c>
      <c r="CU20" s="236">
        <f>IF($C20=0,0,IF(ROUNDDOWN(SUM($C$12:C20)/Espacement_Véhicules+1,0)&gt;NMaxSiègeEquipe*(1+(100-Remplissage_du_brin_descendant)*0.005),NMaxSiègeEquipe*(1+(100-Remplissage_du_brin_descendant)*0.005) +1,ROUNDDOWN(SUM($C$12:C20)/Espacement_Véhicules+1,0)))</f>
        <v>0</v>
      </c>
      <c r="CV20" s="236">
        <f>IF($C20=0,0,IF(ROUNDDOWN(SUM($C$13:C20)/Espacement_Véhicules+1,0)&gt;NMaxSiègeEquipe*(1+(100-Remplissage_du_brin_descendant)*0.005),NMaxSiègeEquipe*(1+(100-Remplissage_du_brin_descendant)*0.005) +1,ROUNDDOWN(SUM($C$13:C20)/Espacement_Véhicules+1,0)))</f>
        <v>0</v>
      </c>
      <c r="CW20" s="236">
        <f>IF($C20=0,0,IF(ROUNDDOWN(SUM($C$14:C20)/Espacement_Véhicules+1,0)&gt;NMaxSiègeEquipe*(1+(100-Remplissage_du_brin_descendant)*0.005),NMaxSiègeEquipe*(1+(100-Remplissage_du_brin_descendant)*0.005) +1,ROUNDDOWN(SUM($C$14:C20)/Espacement_Véhicules+1,0)))</f>
        <v>0</v>
      </c>
      <c r="CX20" s="236">
        <f>IF($C20=0,0,IF(ROUNDDOWN(SUM($C$15:C20)/Espacement_Véhicules+1,0)&gt;NMaxSiègeEquipe*(1+(100-Remplissage_du_brin_descendant)*0.005),NMaxSiègeEquipe*(1+(100-Remplissage_du_brin_descendant)*0.005) +1,ROUNDDOWN(SUM($C$15:C20)/Espacement_Véhicules+1,0)))</f>
        <v>0</v>
      </c>
      <c r="CY20" s="236">
        <f>IF($C20=0,0,IF(ROUNDDOWN(SUM($C$16:C20)/Espacement_Véhicules+1,0)&gt;NMaxSiègeEquipe*(1+(100-Remplissage_du_brin_descendant)*0.005),NMaxSiègeEquipe*(1+(100-Remplissage_du_brin_descendant)*0.005) +1,ROUNDDOWN(SUM($C$16:C20)/Espacement_Véhicules+1,0)))</f>
        <v>0</v>
      </c>
      <c r="CZ20" s="236">
        <f>IF($C20=0,0,IF(ROUNDDOWN(SUM($C$17:C20)/Espacement_Véhicules+1,0)&gt;NMaxSiègeEquipe*(1+(100-Remplissage_du_brin_descendant)*0.005),NMaxSiègeEquipe*(1+(100-Remplissage_du_brin_descendant)*0.005) +1,ROUNDDOWN(SUM($C$17:C20)/Espacement_Véhicules+1,0)))</f>
        <v>0</v>
      </c>
      <c r="DA20" s="236">
        <f>IF($C20=0,0,IF(ROUNDDOWN(SUM($C$18:C20)/Espacement_Véhicules+1,0)&gt;NMaxSiègeEquipe*(1+(100-Remplissage_du_brin_descendant)*0.005),NMaxSiègeEquipe*(1+(100-Remplissage_du_brin_descendant)*0.005) +1,ROUNDDOWN(SUM($C$18:C20)/Espacement_Véhicules+1,0)))</f>
        <v>0</v>
      </c>
      <c r="DB20" s="236">
        <f>IF($C20=0,0,IF(ROUNDDOWN(SUM($C$19:C20)/Espacement_Véhicules+1,0)&gt;NMaxSiègeEquipe*(1+(100-Remplissage_du_brin_descendant)*0.005),NMaxSiègeEquipe*(1+(100-Remplissage_du_brin_descendant)*0.005) +1,ROUNDDOWN(SUM($C$19:C20)/Espacement_Véhicules+1,0)))</f>
        <v>0</v>
      </c>
      <c r="DC20" s="236">
        <f>IF($C20=0,0,ROUNDDOWN($C20/Espacement_Véhicules+1,0))</f>
        <v>0</v>
      </c>
      <c r="DD20" s="350"/>
      <c r="DE20" s="350"/>
      <c r="DF20" s="350"/>
      <c r="DG20" s="350"/>
      <c r="DH20" s="350"/>
      <c r="DI20" s="350"/>
      <c r="DJ20" s="350"/>
      <c r="DK20" s="350"/>
      <c r="DL20" s="350"/>
      <c r="DM20" s="350"/>
      <c r="DN20" s="350"/>
      <c r="DO20" s="356">
        <f t="shared" si="5"/>
        <v>0</v>
      </c>
      <c r="DP20" s="356">
        <f t="shared" si="12"/>
        <v>0</v>
      </c>
      <c r="DQ20" s="356">
        <f t="shared" si="16"/>
        <v>0</v>
      </c>
      <c r="DR20" s="356">
        <f t="shared" si="20"/>
        <v>0</v>
      </c>
      <c r="DS20" s="356">
        <f t="shared" si="24"/>
        <v>0</v>
      </c>
      <c r="DT20" s="356">
        <f t="shared" si="28"/>
        <v>0</v>
      </c>
      <c r="DU20" s="356">
        <f t="shared" si="32"/>
        <v>0</v>
      </c>
      <c r="DV20" s="356">
        <f t="shared" si="36"/>
        <v>0</v>
      </c>
      <c r="DW20" s="356">
        <f t="shared" si="40"/>
        <v>0</v>
      </c>
      <c r="DX20" s="356">
        <f t="shared" si="44"/>
        <v>0</v>
      </c>
      <c r="DY20" s="356">
        <f t="shared" si="48"/>
        <v>0</v>
      </c>
      <c r="DZ20" s="356">
        <f t="shared" si="52"/>
        <v>0</v>
      </c>
      <c r="EA20" s="356">
        <f t="shared" si="56"/>
        <v>0</v>
      </c>
      <c r="EB20" s="356">
        <f t="shared" ref="EB20:EB31" si="60">IF($C20=0,0,IF(EB19+$F20*(DB20-DB19)*Remplissage_du_brin_descendant/100+$H20&gt;=Durée_maximale_d_évacuation,Durée_maximale_d_évacuation,IF(EB19+$F20*(DB20-DB19)*Remplissage_du_brin_descendant/100+$G20+$F21*(DB21-DB20)*Remplissage_du_brin_descendant/100+$H21&gt;=Durée_maximale_d_évacuation,EB19+$F20*(DB20-DB19)*Remplissage_du_brin_descendant/100+$H20,EB19+$F20*(DB20-DB19)*Remplissage_du_brin_descendant/100+$G20)))</f>
        <v>0</v>
      </c>
      <c r="EC20" s="356">
        <f>IF($C20=0,0,IF($E20+$F20*DC20*Remplissage_du_brin_descendant/100+$G20+($F21-$F20)*DC21*Remplissage_du_brin_descendant/100+$H21&gt;=Durée_maximale_d_évacuation,$E20+$F20*DC20*Remplissage_du_brin_descendant/100+$H20,$E20+$F20*DC20*Remplissage_du_brin_descendant/100+$G20))</f>
        <v>0</v>
      </c>
      <c r="ED20" s="357"/>
      <c r="EE20" s="357"/>
      <c r="EF20" s="357"/>
      <c r="EG20" s="357"/>
      <c r="EH20" s="357"/>
      <c r="EI20" s="357"/>
      <c r="EJ20" s="357"/>
      <c r="EK20" s="357"/>
      <c r="EL20" s="357"/>
      <c r="EM20" s="357"/>
      <c r="EN20" s="357"/>
      <c r="EO20" s="224">
        <f t="shared" si="6"/>
        <v>0</v>
      </c>
      <c r="EP20" s="224">
        <f t="shared" si="13"/>
        <v>0</v>
      </c>
      <c r="EQ20" s="224">
        <f t="shared" si="17"/>
        <v>0</v>
      </c>
      <c r="ER20" s="224">
        <f t="shared" si="21"/>
        <v>0</v>
      </c>
      <c r="ES20" s="224">
        <f t="shared" si="25"/>
        <v>0</v>
      </c>
      <c r="ET20" s="224">
        <f t="shared" si="29"/>
        <v>0</v>
      </c>
      <c r="EU20" s="224">
        <f t="shared" si="33"/>
        <v>0</v>
      </c>
      <c r="EV20" s="224">
        <f t="shared" si="37"/>
        <v>0</v>
      </c>
      <c r="EW20" s="224">
        <f t="shared" si="41"/>
        <v>0</v>
      </c>
      <c r="EX20" s="224">
        <f t="shared" si="45"/>
        <v>0</v>
      </c>
      <c r="EY20" s="224">
        <f t="shared" si="49"/>
        <v>0</v>
      </c>
      <c r="EZ20" s="224">
        <f t="shared" si="53"/>
        <v>0</v>
      </c>
      <c r="FA20" s="224">
        <f t="shared" si="57"/>
        <v>0</v>
      </c>
      <c r="FB20" s="224">
        <f t="shared" ref="FB20:FB31" si="61">IF(OR(FA20=1,FB19=0),0,IF(DB20=0,0,IF(DB20&lt;NMaxSiègeEquipe*(1+(100-Remplissage_du_brin_descendant)*0.005)+1,IF(EB20&lt;Durée_maximale_d_évacuation,1,0),0)))</f>
        <v>0</v>
      </c>
      <c r="FC20" s="224">
        <f>IF(SUM(EO20:FB20)&gt;0,0,IF(DC20=0,0,IF(DC20&lt;NMaxSiègeEquipe*(1+(100-Remplissage_du_brin_descendant)*0.005)+1,IF(EC20&lt;Durée_maximale_d_évacuation,1,0),0)))</f>
        <v>0</v>
      </c>
      <c r="FD20" s="225"/>
      <c r="FE20" s="225"/>
      <c r="FF20" s="225"/>
      <c r="FG20" s="225"/>
      <c r="FH20" s="225"/>
      <c r="FI20" s="225"/>
      <c r="FJ20" s="225"/>
      <c r="FK20" s="225"/>
      <c r="FL20" s="225"/>
      <c r="FM20" s="225"/>
      <c r="FN20" s="225"/>
      <c r="FO20" s="332">
        <f t="shared" si="7"/>
        <v>0</v>
      </c>
      <c r="FP20" s="236">
        <f t="shared" si="8"/>
        <v>0</v>
      </c>
      <c r="FQ20" s="238">
        <f t="shared" si="9"/>
        <v>0</v>
      </c>
      <c r="FR20" s="224">
        <f>IF(Remplissage_du_brin_descendant=0,0,IF(14&gt;NBPylône,"",IF(SUM(EO20:FB20)=1,FR19,FR19+1)))</f>
        <v>0</v>
      </c>
    </row>
    <row r="21" spans="1:174" x14ac:dyDescent="0.2">
      <c r="A21" s="62" t="str">
        <f>'     2-DL     '!C23</f>
        <v/>
      </c>
      <c r="B21" s="65" t="str">
        <f>'     2-DL     '!D23</f>
        <v/>
      </c>
      <c r="C21" s="63">
        <f>IF(B21="",0,'     2-DL     '!E23)</f>
        <v>0</v>
      </c>
      <c r="D21" s="66"/>
      <c r="E21" s="4">
        <f>IF(C21=0,0,'     2-DL     '!F23)</f>
        <v>0</v>
      </c>
      <c r="F21" s="4">
        <f>IF(C21=0,0,IF(S_TempsEvacuationVehicule=1,A_TempsEvacuationVéhicule,'     2-DL     '!H23))</f>
        <v>0</v>
      </c>
      <c r="G21" s="4">
        <f>IF(C21=0,0,IF(S_TempsAccèsPortéeSuivante=1,A_TempsAccèsPortéeSuivante,'     2-DL     '!J23))</f>
        <v>0</v>
      </c>
      <c r="H21" s="4">
        <f>IF(C21=0,0,'     2-DL     '!L23)</f>
        <v>0</v>
      </c>
      <c r="I21" s="66"/>
      <c r="J21" s="236">
        <f>IF($C21=0,0,IF(ROUNDDOWN(SUM($C$6:C21)/Espacement_Véhicules+1,0)&gt;NMaxSiègeEquipe*(1+(100-Remplissage_du_brin_montant)*0.005),NMaxSiègeEquipe*(1+(100-Remplissage_du_brin_montant)*0.005) +1,ROUNDDOWN(SUM($C$6:C21)/Espacement_Véhicules+1,0)))</f>
        <v>0</v>
      </c>
      <c r="K21" s="236">
        <f>IF($C21=0,0,IF(ROUNDDOWN(SUM($C$7:C21)/Espacement_Véhicules+1,0)&gt;NMaxSiègeEquipe*(1+(100-Remplissage_du_brin_montant)*0.005),NMaxSiègeEquipe*(1+(100-Remplissage_du_brin_montant)*0.005) +1,ROUNDDOWN(SUM($C$7:C21)/Espacement_Véhicules+1,0)))</f>
        <v>0</v>
      </c>
      <c r="L21" s="236">
        <f>IF($C21=0,0,IF(ROUNDDOWN(SUM($C$8:C21)/Espacement_Véhicules+1,0)&gt;NMaxSiègeEquipe*(1+(100-Remplissage_du_brin_montant)*0.005),NMaxSiègeEquipe*(1+(100-Remplissage_du_brin_montant)*0.005) +1,ROUNDDOWN(SUM($C$8:C21)/Espacement_Véhicules+1,0)))</f>
        <v>0</v>
      </c>
      <c r="M21" s="236">
        <f>IF($C21=0,0,IF(ROUNDDOWN(SUM($C$9:C21)/Espacement_Véhicules+1,0)&gt;NMaxSiègeEquipe*(1+(100-Remplissage_du_brin_montant)*0.005),NMaxSiègeEquipe*(1+(100-Remplissage_du_brin_montant)*0.005) +1,ROUNDDOWN(SUM($C$9:C21)/Espacement_Véhicules+1,0)))</f>
        <v>0</v>
      </c>
      <c r="N21" s="236">
        <f>IF($C21=0,0,IF(ROUNDDOWN(SUM($C10:$C21)/Espacement_Véhicules+1,0)&gt;NMaxSiègeEquipe*(1+(100-Remplissage_du_brin_montant)*0.005),NMaxSiègeEquipe +1,ROUNDDOWN(SUM($C10:$C21)/Espacement_Véhicules+1,0)))</f>
        <v>0</v>
      </c>
      <c r="O21" s="236">
        <f>IF($C21=0,0,IF(ROUNDDOWN(SUM($C20:C21)/Espacement_Véhicules+1,0)&gt;NMaxSiègeEquipe*(1+(100-Remplissage_du_brin_montant)*0.005),NMaxSiègeEquipe*(1+(100-Remplissage_du_brin_montant)*0.005) +1,ROUNDDOWN(SUM($C$11:C21)/Espacement_Véhicules+1,0)))</f>
        <v>0</v>
      </c>
      <c r="P21" s="236">
        <f>IF($C21=0,0,IF(ROUNDDOWN(SUM($C$12:C21)/Espacement_Véhicules+1,0)&gt;NMaxSiègeEquipe*(1+(100-Remplissage_du_brin_montant)*0.005),NMaxSiègeEquipe*(1+(100-Remplissage_du_brin_montant)*0.005) +1,ROUNDDOWN(SUM($C$12:C21)/Espacement_Véhicules+1,0)))</f>
        <v>0</v>
      </c>
      <c r="Q21" s="236">
        <f>IF($C21=0,0,IF(ROUNDDOWN(SUM($C$13:C21)/Espacement_Véhicules+1,0)&gt;NMaxSiègeEquipe*(1+(100-Remplissage_du_brin_montant)*0.005),NMaxSiègeEquipe*(1+(100-Remplissage_du_brin_montant)*0.005) +1,ROUNDDOWN(SUM($C$13:C21)/Espacement_Véhicules+1,0)))</f>
        <v>0</v>
      </c>
      <c r="R21" s="236">
        <f>IF($C21=0,0,IF(ROUNDDOWN(SUM($C$14:C21)/Espacement_Véhicules+1,0)&gt;NMaxSiègeEquipe*(1+(100-Remplissage_du_brin_montant)*0.005),NMaxSiègeEquipe*(1+(100-Remplissage_du_brin_montant)*0.005) +1,ROUNDDOWN(SUM($C$14:C21)/Espacement_Véhicules+1,0)))</f>
        <v>0</v>
      </c>
      <c r="S21" s="236">
        <f>IF($C21=0,0,IF(ROUNDDOWN(SUM($C$15:C21)/Espacement_Véhicules+1,0)&gt;NMaxSiègeEquipe*(1+(100-Remplissage_du_brin_montant)*0.005),NMaxSiègeEquipe*(1+(100-Remplissage_du_brin_montant)*0.005) +1,ROUNDDOWN(SUM($C$15:C21)/Espacement_Véhicules+1,0)))</f>
        <v>0</v>
      </c>
      <c r="T21" s="236">
        <f>IF($C21=0,0,IF(ROUNDDOWN(SUM($C$16:C21)/Espacement_Véhicules+1,0)&gt;NMaxSiègeEquipe*(1+(100-Remplissage_du_brin_montant)*0.005),NMaxSiègeEquipe*(1+(100-Remplissage_du_brin_montant)*0.005) +1,ROUNDDOWN(SUM($C$16:C21)/Espacement_Véhicules+1,0)))</f>
        <v>0</v>
      </c>
      <c r="U21" s="236">
        <f>IF($C21=0,0,IF(ROUNDDOWN(SUM($C$17:C21)/Espacement_Véhicules+1,0)&gt;NMaxSiègeEquipe*(1+(100-Remplissage_du_brin_montant)*0.005),NMaxSiègeEquipe*(1+(100-Remplissage_du_brin_montant)*0.005) +1,ROUNDDOWN(SUM($C$17:C21)/Espacement_Véhicules+1,0)))</f>
        <v>0</v>
      </c>
      <c r="V21" s="236">
        <f>IF($C21=0,0,IF(ROUNDDOWN(SUM($C$18:C21)/Espacement_Véhicules+1,0)&gt;NMaxSiègeEquipe*(1+(100-Remplissage_du_brin_montant)*0.005),NMaxSiègeEquipe*(1+(100-Remplissage_du_brin_montant)*0.005) +1,ROUNDDOWN(SUM($C$18:C21)/Espacement_Véhicules+1,0)))</f>
        <v>0</v>
      </c>
      <c r="W21" s="236">
        <f>IF($C21=0,0,IF(ROUNDDOWN(SUM($C$19:C21)/Espacement_Véhicules+1,0)&gt;NMaxSiègeEquipe*(1+(100-Remplissage_du_brin_montant)*0.005),NMaxSiègeEquipe*(1+(100-Remplissage_du_brin_montant)*0.005) +1,ROUNDDOWN(SUM($C$19:C21)/Espacement_Véhicules+1,0)))</f>
        <v>0</v>
      </c>
      <c r="X21" s="236">
        <f>IF($C21=0,0,IF(ROUNDDOWN(SUM($C$20:C21)/Espacement_Véhicules+1,0)&gt;NMaxSiègeEquipe*(1+(100-Remplissage_du_brin_montant)*0.005),NMaxSiègeEquipe*(1+(100-Remplissage_du_brin_montant)*0.005) +1,ROUNDDOWN(SUM($C$20:C21)/Espacement_Véhicules+1,0)))</f>
        <v>0</v>
      </c>
      <c r="Y21" s="236">
        <f>IF($C21=0,0,ROUNDDOWN($C21/Espacement_Véhicules+1,0))</f>
        <v>0</v>
      </c>
      <c r="Z21" s="350"/>
      <c r="AA21" s="350"/>
      <c r="AB21" s="350"/>
      <c r="AC21" s="350"/>
      <c r="AD21" s="350"/>
      <c r="AE21" s="350"/>
      <c r="AF21" s="350"/>
      <c r="AG21" s="350"/>
      <c r="AH21" s="350"/>
      <c r="AI21" s="350"/>
      <c r="AJ21" s="356">
        <f t="shared" si="0"/>
        <v>0</v>
      </c>
      <c r="AK21" s="356">
        <f t="shared" si="10"/>
        <v>0</v>
      </c>
      <c r="AL21" s="356">
        <f t="shared" si="14"/>
        <v>0</v>
      </c>
      <c r="AM21" s="356">
        <f t="shared" si="18"/>
        <v>0</v>
      </c>
      <c r="AN21" s="356">
        <f t="shared" si="22"/>
        <v>0</v>
      </c>
      <c r="AO21" s="356">
        <f t="shared" si="26"/>
        <v>0</v>
      </c>
      <c r="AP21" s="356">
        <f t="shared" si="30"/>
        <v>0</v>
      </c>
      <c r="AQ21" s="356">
        <f t="shared" si="34"/>
        <v>0</v>
      </c>
      <c r="AR21" s="356">
        <f t="shared" si="38"/>
        <v>0</v>
      </c>
      <c r="AS21" s="356">
        <f t="shared" si="42"/>
        <v>0</v>
      </c>
      <c r="AT21" s="356">
        <f t="shared" si="46"/>
        <v>0</v>
      </c>
      <c r="AU21" s="356">
        <f t="shared" si="50"/>
        <v>0</v>
      </c>
      <c r="AV21" s="356">
        <f t="shared" si="54"/>
        <v>0</v>
      </c>
      <c r="AW21" s="356">
        <f t="shared" si="58"/>
        <v>0</v>
      </c>
      <c r="AX21" s="356">
        <f t="shared" ref="AX21:AX31" si="62">IF($C21=0,0,IF(AX20+$F21*(X21-X20)*Remplissage_du_brin_montant/100+$H21&gt;=Durée_maximale_d_évacuation,Durée_maximale_d_évacuation,IF(AX20+$F21*(X21-X20)*Remplissage_du_brin_montant/100+$G21+$F22*(X22-X21)*Remplissage_du_brin_montant/100+$H22&gt;=Durée_maximale_d_évacuation,AX20+$F21*(X21-X20)*Remplissage_du_brin_montant/100+$H21,AX20+$F21*(X21-X20)*Remplissage_du_brin_montant/100+$G21)))</f>
        <v>0</v>
      </c>
      <c r="AY21" s="356">
        <f>IF($C21=0,0,IF($E21+$F21*Y21*Remplissage_du_brin_montant/100+$G21+($F22-$F21)*Y22*Remplissage_du_brin_montant/100+$H22&gt;=Durée_maximale_d_évacuation,$E21+$F21*Y21*Remplissage_du_brin_montant/100+$H21,$E21+$F21*Y21*Remplissage_du_brin_montant/100+$G21))</f>
        <v>0</v>
      </c>
      <c r="AZ21" s="357"/>
      <c r="BA21" s="357"/>
      <c r="BB21" s="357"/>
      <c r="BC21" s="357"/>
      <c r="BD21" s="357"/>
      <c r="BE21" s="357"/>
      <c r="BF21" s="357"/>
      <c r="BG21" s="357"/>
      <c r="BH21" s="357"/>
      <c r="BI21" s="357"/>
      <c r="BJ21" s="224">
        <f t="shared" si="1"/>
        <v>0</v>
      </c>
      <c r="BK21" s="224">
        <f t="shared" si="11"/>
        <v>0</v>
      </c>
      <c r="BL21" s="224">
        <f t="shared" si="15"/>
        <v>0</v>
      </c>
      <c r="BM21" s="224">
        <f t="shared" si="19"/>
        <v>0</v>
      </c>
      <c r="BN21" s="224">
        <f t="shared" si="23"/>
        <v>0</v>
      </c>
      <c r="BO21" s="224">
        <f t="shared" si="27"/>
        <v>0</v>
      </c>
      <c r="BP21" s="224">
        <f t="shared" si="31"/>
        <v>0</v>
      </c>
      <c r="BQ21" s="224">
        <f t="shared" si="35"/>
        <v>0</v>
      </c>
      <c r="BR21" s="224">
        <f t="shared" si="39"/>
        <v>0</v>
      </c>
      <c r="BS21" s="224">
        <f t="shared" si="43"/>
        <v>0</v>
      </c>
      <c r="BT21" s="224">
        <f t="shared" si="47"/>
        <v>0</v>
      </c>
      <c r="BU21" s="224">
        <f t="shared" si="51"/>
        <v>0</v>
      </c>
      <c r="BV21" s="224">
        <f t="shared" si="55"/>
        <v>0</v>
      </c>
      <c r="BW21" s="224">
        <f t="shared" si="59"/>
        <v>0</v>
      </c>
      <c r="BX21" s="224">
        <f t="shared" ref="BX21:BX31" si="63">IF(OR(BW21=1,BX20=0),0,IF(X21=0,0,IF(X21&lt;NMaxSiègeEquipe*(1+(100-Remplissage_du_brin_montant)*0.005)+1,IF(AX21&lt;Durée_maximale_d_évacuation,1,0),0)))</f>
        <v>0</v>
      </c>
      <c r="BY21" s="224">
        <f>IF(SUM(BJ21:BX21)&gt;0,0,IF(Y21=0,0,IF(Y21&lt;NMaxSiègeEquipe*(1+(100-Remplissage_du_brin_montant)*0.005)+1,IF(AY21&lt;Durée_maximale_d_évacuation,1,0),0)))</f>
        <v>0</v>
      </c>
      <c r="BZ21" s="225"/>
      <c r="CA21" s="225"/>
      <c r="CB21" s="225"/>
      <c r="CC21" s="225"/>
      <c r="CD21" s="225"/>
      <c r="CE21" s="225"/>
      <c r="CF21" s="225"/>
      <c r="CG21" s="225"/>
      <c r="CH21" s="225"/>
      <c r="CI21" s="225"/>
      <c r="CJ21" s="332">
        <f t="shared" si="2"/>
        <v>0</v>
      </c>
      <c r="CK21" s="236">
        <f t="shared" si="3"/>
        <v>0</v>
      </c>
      <c r="CL21" s="238">
        <f t="shared" si="4"/>
        <v>0</v>
      </c>
      <c r="CM21" s="224">
        <f>IF(Remplissage_du_brin_montant=0,0,IF(15&gt;NBPylône,"",IF(SUM(BJ21:BX21)=1,CM20,CM20+1)))</f>
        <v>0</v>
      </c>
      <c r="CN21" s="17"/>
      <c r="CO21" s="236">
        <f>IF(C21=0,0,IF(ROUNDDOWN(SUM($C$6:C21)/Espacement_Véhicules+1,0)&gt;NMaxSiègeEquipe*(1+(100-Remplissage_du_brin_descendant)*0.005),NMaxSiègeEquipe*(1+(100-Remplissage_du_brin_descendant)*0.005) +1,ROUNDDOWN(SUM($C$6:C21)/Espacement_Véhicules+1,0)))</f>
        <v>0</v>
      </c>
      <c r="CP21" s="236">
        <f>IF($C21=0,0,IF(ROUNDDOWN(SUM($C$7:C21)/Espacement_Véhicules+1,0)&gt;NMaxSiègeEquipe*(1+(100-Remplissage_du_brin_descendant)*0.005),NMaxSiègeEquipe*(1+(100-Remplissage_du_brin_descendant)*0.005) +1,ROUNDDOWN(SUM($C$7:C21)/Espacement_Véhicules+1,0)))</f>
        <v>0</v>
      </c>
      <c r="CQ21" s="236">
        <f>IF($C21=0,0,IF(ROUNDDOWN(SUM($C$8:C21)/Espacement_Véhicules+1,0)&gt;NMaxSiègeEquipe*(1+(100-Remplissage_du_brin_descendant)*0.005),NMaxSiègeEquipe*(1+(100-Remplissage_du_brin_descendant)*0.005) +1,ROUNDDOWN(SUM($C$8:C21)/Espacement_Véhicules+1,0)))</f>
        <v>0</v>
      </c>
      <c r="CR21" s="236">
        <f>IF($C21=0,0,IF(ROUNDDOWN(SUM($C$9:C21)/Espacement_Véhicules+1,0)&gt;NMaxSiègeEquipe*(1+(100-Remplissage_du_brin_descendant)*0.005),NMaxSiègeEquipe*(1+(100-Remplissage_du_brin_descendant)*0.005) +1,ROUNDDOWN(SUM($C$9:C21)/Espacement_Véhicules+1,0)))</f>
        <v>0</v>
      </c>
      <c r="CS21" s="236">
        <f>IF($C21=0,0,IF(ROUNDDOWN(SUM($C$10:C21)/Espacement_Véhicules+1,0)&gt;NMaxSiègeEquipe*(1+(100-Remplissage_du_brin_descendant)*0.005),NMaxSiègeEquipe*(1+(100-Remplissage_du_brin_descendant)*0.005) +1,ROUNDDOWN(SUM($C$10:C21)/Espacement_Véhicules+1,0)))</f>
        <v>0</v>
      </c>
      <c r="CT21" s="236">
        <f>IF($C21=0,0,IF(ROUNDDOWN(SUM($C$11:C21)/Espacement_Véhicules+1,0)&gt;NMaxSiègeEquipe*(1+(100-Remplissage_du_brin_descendant)*0.005),NMaxSiègeEquipe*(1+(100-Remplissage_du_brin_descendant)*0.005) +1,ROUNDDOWN(SUM($C$11:C21)/Espacement_Véhicules+1,0)))</f>
        <v>0</v>
      </c>
      <c r="CU21" s="236">
        <f>IF($C21=0,0,IF(ROUNDDOWN(SUM($C$12:C21)/Espacement_Véhicules+1,0)&gt;NMaxSiègeEquipe*(1+(100-Remplissage_du_brin_descendant)*0.005),NMaxSiègeEquipe*(1+(100-Remplissage_du_brin_descendant)*0.005) +1,ROUNDDOWN(SUM($C$12:C21)/Espacement_Véhicules+1,0)))</f>
        <v>0</v>
      </c>
      <c r="CV21" s="236">
        <f>IF($C21=0,0,IF(ROUNDDOWN(SUM($C$13:C21)/Espacement_Véhicules+1,0)&gt;NMaxSiègeEquipe*(1+(100-Remplissage_du_brin_descendant)*0.005),NMaxSiègeEquipe*(1+(100-Remplissage_du_brin_descendant)*0.005) +1,ROUNDDOWN(SUM($C$13:C21)/Espacement_Véhicules+1,0)))</f>
        <v>0</v>
      </c>
      <c r="CW21" s="236">
        <f>IF($C21=0,0,IF(ROUNDDOWN(SUM($C$14:C21)/Espacement_Véhicules+1,0)&gt;NMaxSiègeEquipe*(1+(100-Remplissage_du_brin_descendant)*0.005),NMaxSiègeEquipe*(1+(100-Remplissage_du_brin_descendant)*0.005) +1,ROUNDDOWN(SUM($C$14:C21)/Espacement_Véhicules+1,0)))</f>
        <v>0</v>
      </c>
      <c r="CX21" s="236">
        <f>IF($C21=0,0,IF(ROUNDDOWN(SUM($C$15:C21)/Espacement_Véhicules+1,0)&gt;NMaxSiègeEquipe*(1+(100-Remplissage_du_brin_descendant)*0.005),NMaxSiègeEquipe*(1+(100-Remplissage_du_brin_descendant)*0.005) +1,ROUNDDOWN(SUM($C$15:C21)/Espacement_Véhicules+1,0)))</f>
        <v>0</v>
      </c>
      <c r="CY21" s="236">
        <f>IF($C21=0,0,IF(ROUNDDOWN(SUM($C$16:C21)/Espacement_Véhicules+1,0)&gt;NMaxSiègeEquipe*(1+(100-Remplissage_du_brin_descendant)*0.005),NMaxSiègeEquipe*(1+(100-Remplissage_du_brin_descendant)*0.005) +1,ROUNDDOWN(SUM($C$16:C21)/Espacement_Véhicules+1,0)))</f>
        <v>0</v>
      </c>
      <c r="CZ21" s="236">
        <f>IF($C21=0,0,IF(ROUNDDOWN(SUM($C$17:C21)/Espacement_Véhicules+1,0)&gt;NMaxSiègeEquipe*(1+(100-Remplissage_du_brin_descendant)*0.005),NMaxSiègeEquipe*(1+(100-Remplissage_du_brin_descendant)*0.005) +1,ROUNDDOWN(SUM($C$17:C21)/Espacement_Véhicules+1,0)))</f>
        <v>0</v>
      </c>
      <c r="DA21" s="236">
        <f>IF($C21=0,0,IF(ROUNDDOWN(SUM($C$18:C21)/Espacement_Véhicules+1,0)&gt;NMaxSiègeEquipe*(1+(100-Remplissage_du_brin_descendant)*0.005),NMaxSiègeEquipe*(1+(100-Remplissage_du_brin_descendant)*0.005) +1,ROUNDDOWN(SUM($C$18:C21)/Espacement_Véhicules+1,0)))</f>
        <v>0</v>
      </c>
      <c r="DB21" s="236">
        <f>IF($C21=0,0,IF(ROUNDDOWN(SUM($C$19:C21)/Espacement_Véhicules+1,0)&gt;NMaxSiègeEquipe*(1+(100-Remplissage_du_brin_descendant)*0.005),NMaxSiègeEquipe*(1+(100-Remplissage_du_brin_descendant)*0.005) +1,ROUNDDOWN(SUM($C$19:C21)/Espacement_Véhicules+1,0)))</f>
        <v>0</v>
      </c>
      <c r="DC21" s="236">
        <f>IF($C21=0,0,IF(ROUNDDOWN(SUM($C$20:C21)/Espacement_Véhicules+1,0)&gt;NMaxSiègeEquipe*(1+(100-Remplissage_du_brin_descendant)*0.005),NMaxSiègeEquipe*(1+(100-Remplissage_du_brin_descendant)*0.005) +1,ROUNDDOWN(SUM($C$20:C21)/Espacement_Véhicules+1,0)))</f>
        <v>0</v>
      </c>
      <c r="DD21" s="236">
        <f>IF($C21=0,0,ROUNDDOWN($C21/Espacement_Véhicules+1,0))</f>
        <v>0</v>
      </c>
      <c r="DE21" s="350"/>
      <c r="DF21" s="350"/>
      <c r="DG21" s="350"/>
      <c r="DH21" s="350"/>
      <c r="DI21" s="350"/>
      <c r="DJ21" s="350"/>
      <c r="DK21" s="350"/>
      <c r="DL21" s="350"/>
      <c r="DM21" s="350"/>
      <c r="DN21" s="350"/>
      <c r="DO21" s="356">
        <f t="shared" si="5"/>
        <v>0</v>
      </c>
      <c r="DP21" s="356">
        <f t="shared" si="12"/>
        <v>0</v>
      </c>
      <c r="DQ21" s="356">
        <f t="shared" si="16"/>
        <v>0</v>
      </c>
      <c r="DR21" s="356">
        <f t="shared" si="20"/>
        <v>0</v>
      </c>
      <c r="DS21" s="356">
        <f t="shared" si="24"/>
        <v>0</v>
      </c>
      <c r="DT21" s="356">
        <f t="shared" si="28"/>
        <v>0</v>
      </c>
      <c r="DU21" s="356">
        <f t="shared" si="32"/>
        <v>0</v>
      </c>
      <c r="DV21" s="356">
        <f t="shared" si="36"/>
        <v>0</v>
      </c>
      <c r="DW21" s="356">
        <f t="shared" si="40"/>
        <v>0</v>
      </c>
      <c r="DX21" s="356">
        <f t="shared" si="44"/>
        <v>0</v>
      </c>
      <c r="DY21" s="356">
        <f t="shared" si="48"/>
        <v>0</v>
      </c>
      <c r="DZ21" s="356">
        <f t="shared" si="52"/>
        <v>0</v>
      </c>
      <c r="EA21" s="356">
        <f t="shared" si="56"/>
        <v>0</v>
      </c>
      <c r="EB21" s="356">
        <f t="shared" si="60"/>
        <v>0</v>
      </c>
      <c r="EC21" s="356">
        <f t="shared" ref="EC21:EC31" si="64">IF($C21=0,0,IF(EC20+$F21*(DC21-DC20)*Remplissage_du_brin_descendant/100+$H21&gt;=Durée_maximale_d_évacuation,Durée_maximale_d_évacuation,IF(EC20+$F21*(DC21-DC20)*Remplissage_du_brin_descendant/100+$G21+$F22*(DC22-DC21)*Remplissage_du_brin_descendant/100+$H22&gt;=Durée_maximale_d_évacuation,EC20+$F21*(DC21-DC20)*Remplissage_du_brin_descendant/100+$H21,EC20+$F21*(DC21-DC20)*Remplissage_du_brin_descendant/100+$G21)))</f>
        <v>0</v>
      </c>
      <c r="ED21" s="356">
        <f>IF($C21=0,0,IF($E21+$F21*DD21*Remplissage_du_brin_descendant/100+$G21+($F22-$F21)*DD22*Remplissage_du_brin_descendant/100+$H22&gt;=Durée_maximale_d_évacuation,$E21+$F21*DD21*Remplissage_du_brin_descendant/100+$H21,$E21+$F21*DD21*Remplissage_du_brin_descendant/100+$G21))</f>
        <v>0</v>
      </c>
      <c r="EE21" s="357"/>
      <c r="EF21" s="357"/>
      <c r="EG21" s="357"/>
      <c r="EH21" s="357"/>
      <c r="EI21" s="357"/>
      <c r="EJ21" s="357"/>
      <c r="EK21" s="357"/>
      <c r="EL21" s="357"/>
      <c r="EM21" s="357"/>
      <c r="EN21" s="357"/>
      <c r="EO21" s="224">
        <f t="shared" si="6"/>
        <v>0</v>
      </c>
      <c r="EP21" s="224">
        <f t="shared" si="13"/>
        <v>0</v>
      </c>
      <c r="EQ21" s="224">
        <f t="shared" si="17"/>
        <v>0</v>
      </c>
      <c r="ER21" s="224">
        <f t="shared" si="21"/>
        <v>0</v>
      </c>
      <c r="ES21" s="224">
        <f t="shared" si="25"/>
        <v>0</v>
      </c>
      <c r="ET21" s="224">
        <f t="shared" si="29"/>
        <v>0</v>
      </c>
      <c r="EU21" s="224">
        <f t="shared" si="33"/>
        <v>0</v>
      </c>
      <c r="EV21" s="224">
        <f t="shared" si="37"/>
        <v>0</v>
      </c>
      <c r="EW21" s="224">
        <f t="shared" si="41"/>
        <v>0</v>
      </c>
      <c r="EX21" s="224">
        <f t="shared" si="45"/>
        <v>0</v>
      </c>
      <c r="EY21" s="224">
        <f t="shared" si="49"/>
        <v>0</v>
      </c>
      <c r="EZ21" s="224">
        <f t="shared" si="53"/>
        <v>0</v>
      </c>
      <c r="FA21" s="224">
        <f t="shared" si="57"/>
        <v>0</v>
      </c>
      <c r="FB21" s="224">
        <f t="shared" si="61"/>
        <v>0</v>
      </c>
      <c r="FC21" s="224">
        <f t="shared" ref="FC21:FC31" si="65">IF(OR(FB21=1,FC20=0),0,IF(DC21=0,0,IF(DC21&lt;NMaxSiègeEquipe*(1+(100-Remplissage_du_brin_descendant)*0.005)+1,IF(EC21&lt;Durée_maximale_d_évacuation,1,0),0)))</f>
        <v>0</v>
      </c>
      <c r="FD21" s="224">
        <f>IF(SUM(EO21:FC21)&gt;0,0,IF(DD21=0,0,IF(DD21&lt;NMaxSiègeEquipe*(1+(100-Remplissage_du_brin_descendant)*0.005)+1,IF(ED21&lt;Durée_maximale_d_évacuation,1,0),0)))</f>
        <v>0</v>
      </c>
      <c r="FE21" s="225"/>
      <c r="FF21" s="225"/>
      <c r="FG21" s="225"/>
      <c r="FH21" s="225"/>
      <c r="FI21" s="225"/>
      <c r="FJ21" s="225"/>
      <c r="FK21" s="225"/>
      <c r="FL21" s="225"/>
      <c r="FM21" s="225"/>
      <c r="FN21" s="225"/>
      <c r="FO21" s="332">
        <f t="shared" si="7"/>
        <v>0</v>
      </c>
      <c r="FP21" s="236">
        <f t="shared" si="8"/>
        <v>0</v>
      </c>
      <c r="FQ21" s="238">
        <f t="shared" si="9"/>
        <v>0</v>
      </c>
      <c r="FR21" s="224">
        <f>IF(Remplissage_du_brin_descendant=0,0,IF(15&gt;NBPylône,"",IF(SUM(EO21:FC21)=1,FR20,FR20+1)))</f>
        <v>0</v>
      </c>
    </row>
    <row r="22" spans="1:174" x14ac:dyDescent="0.2">
      <c r="A22" s="62" t="str">
        <f>'     2-DL     '!C24</f>
        <v/>
      </c>
      <c r="B22" s="65" t="str">
        <f>'     2-DL     '!D24</f>
        <v/>
      </c>
      <c r="C22" s="63">
        <f>IF(B22="",0,'     2-DL     '!E24)</f>
        <v>0</v>
      </c>
      <c r="D22" s="66"/>
      <c r="E22" s="4">
        <f>IF(C22=0,0,'     2-DL     '!F24)</f>
        <v>0</v>
      </c>
      <c r="F22" s="4">
        <f>IF(C22=0,0,IF(S_TempsEvacuationVehicule=1,A_TempsEvacuationVéhicule,'     2-DL     '!H24))</f>
        <v>0</v>
      </c>
      <c r="G22" s="4">
        <f>IF(C22=0,0,IF(S_TempsAccèsPortéeSuivante=1,A_TempsAccèsPortéeSuivante,'     2-DL     '!J24))</f>
        <v>0</v>
      </c>
      <c r="H22" s="4">
        <f>IF(C22=0,0,'     2-DL     '!L24)</f>
        <v>0</v>
      </c>
      <c r="I22" s="66"/>
      <c r="J22" s="236">
        <f>IF($C22=0,0,IF(ROUNDDOWN(SUM($C$6:C22)/Espacement_Véhicules+1,0)&gt;NMaxSiègeEquipe*(1+(100-Remplissage_du_brin_montant)*0.005),NMaxSiègeEquipe*(1+(100-Remplissage_du_brin_montant)*0.005) +1,ROUNDDOWN(SUM($C$6:C22)/Espacement_Véhicules+1,0)))</f>
        <v>0</v>
      </c>
      <c r="K22" s="236">
        <f>IF($C22=0,0,IF(ROUNDDOWN(SUM($C$7:C22)/Espacement_Véhicules+1,0)&gt;NMaxSiègeEquipe*(1+(100-Remplissage_du_brin_montant)*0.005),NMaxSiègeEquipe*(1+(100-Remplissage_du_brin_montant)*0.005) +1,ROUNDDOWN(SUM($C$7:C22)/Espacement_Véhicules+1,0)))</f>
        <v>0</v>
      </c>
      <c r="L22" s="236">
        <f>IF($C22=0,0,IF(ROUNDDOWN(SUM($C$8:C22)/Espacement_Véhicules+1,0)&gt;NMaxSiègeEquipe*(1+(100-Remplissage_du_brin_montant)*0.005),NMaxSiègeEquipe*(1+(100-Remplissage_du_brin_montant)*0.005) +1,ROUNDDOWN(SUM($C$8:C22)/Espacement_Véhicules+1,0)))</f>
        <v>0</v>
      </c>
      <c r="M22" s="236">
        <f>IF($C22=0,0,IF(ROUNDDOWN(SUM($C$9:C22)/Espacement_Véhicules+1,0)&gt;NMaxSiègeEquipe*(1+(100-Remplissage_du_brin_montant)*0.005),NMaxSiègeEquipe*(1+(100-Remplissage_du_brin_montant)*0.005) +1,ROUNDDOWN(SUM($C$9:C22)/Espacement_Véhicules+1,0)))</f>
        <v>0</v>
      </c>
      <c r="N22" s="236">
        <f>IF($C22=0,0,IF(ROUNDDOWN(SUM($C10:$C22)/Espacement_Véhicules+1,0)&gt;NMaxSiègeEquipe*(1+(100-Remplissage_du_brin_montant)*0.005),NMaxSiègeEquipe +1,ROUNDDOWN(SUM($C10:$C22)/Espacement_Véhicules+1,0)))</f>
        <v>0</v>
      </c>
      <c r="O22" s="236">
        <f>IF($C22=0,0,IF(ROUNDDOWN(SUM($C21:C22)/Espacement_Véhicules+1,0)&gt;NMaxSiègeEquipe*(1+(100-Remplissage_du_brin_montant)*0.005),NMaxSiègeEquipe*(1+(100-Remplissage_du_brin_montant)*0.005) +1,ROUNDDOWN(SUM($C$11:C22)/Espacement_Véhicules+1,0)))</f>
        <v>0</v>
      </c>
      <c r="P22" s="236">
        <f>IF($C22=0,0,IF(ROUNDDOWN(SUM($C$12:C22)/Espacement_Véhicules+1,0)&gt;NMaxSiègeEquipe*(1+(100-Remplissage_du_brin_montant)*0.005),NMaxSiègeEquipe*(1+(100-Remplissage_du_brin_montant)*0.005) +1,ROUNDDOWN(SUM($C$12:C22)/Espacement_Véhicules+1,0)))</f>
        <v>0</v>
      </c>
      <c r="Q22" s="236">
        <f>IF($C22=0,0,IF(ROUNDDOWN(SUM($C$13:C22)/Espacement_Véhicules+1,0)&gt;NMaxSiègeEquipe*(1+(100-Remplissage_du_brin_montant)*0.005),NMaxSiègeEquipe*(1+(100-Remplissage_du_brin_montant)*0.005) +1,ROUNDDOWN(SUM($C$13:C22)/Espacement_Véhicules+1,0)))</f>
        <v>0</v>
      </c>
      <c r="R22" s="236">
        <f>IF($C22=0,0,IF(ROUNDDOWN(SUM($C$14:C22)/Espacement_Véhicules+1,0)&gt;NMaxSiègeEquipe*(1+(100-Remplissage_du_brin_montant)*0.005),NMaxSiègeEquipe*(1+(100-Remplissage_du_brin_montant)*0.005) +1,ROUNDDOWN(SUM($C$14:C22)/Espacement_Véhicules+1,0)))</f>
        <v>0</v>
      </c>
      <c r="S22" s="236">
        <f>IF($C22=0,0,IF(ROUNDDOWN(SUM($C$15:C22)/Espacement_Véhicules+1,0)&gt;NMaxSiègeEquipe*(1+(100-Remplissage_du_brin_montant)*0.005),NMaxSiègeEquipe*(1+(100-Remplissage_du_brin_montant)*0.005) +1,ROUNDDOWN(SUM($C$15:C22)/Espacement_Véhicules+1,0)))</f>
        <v>0</v>
      </c>
      <c r="T22" s="236">
        <f>IF($C22=0,0,IF(ROUNDDOWN(SUM($C$16:C22)/Espacement_Véhicules+1,0)&gt;NMaxSiègeEquipe*(1+(100-Remplissage_du_brin_montant)*0.005),NMaxSiègeEquipe*(1+(100-Remplissage_du_brin_montant)*0.005) +1,ROUNDDOWN(SUM($C$16:C22)/Espacement_Véhicules+1,0)))</f>
        <v>0</v>
      </c>
      <c r="U22" s="236">
        <f>IF($C22=0,0,IF(ROUNDDOWN(SUM($C$17:C22)/Espacement_Véhicules+1,0)&gt;NMaxSiègeEquipe*(1+(100-Remplissage_du_brin_montant)*0.005),NMaxSiègeEquipe*(1+(100-Remplissage_du_brin_montant)*0.005) +1,ROUNDDOWN(SUM($C$17:C22)/Espacement_Véhicules+1,0)))</f>
        <v>0</v>
      </c>
      <c r="V22" s="236">
        <f>IF($C22=0,0,IF(ROUNDDOWN(SUM($C$18:C22)/Espacement_Véhicules+1,0)&gt;NMaxSiègeEquipe*(1+(100-Remplissage_du_brin_montant)*0.005),NMaxSiègeEquipe*(1+(100-Remplissage_du_brin_montant)*0.005) +1,ROUNDDOWN(SUM($C$18:C22)/Espacement_Véhicules+1,0)))</f>
        <v>0</v>
      </c>
      <c r="W22" s="236">
        <f>IF($C22=0,0,IF(ROUNDDOWN(SUM($C$19:C22)/Espacement_Véhicules+1,0)&gt;NMaxSiègeEquipe*(1+(100-Remplissage_du_brin_montant)*0.005),NMaxSiègeEquipe*(1+(100-Remplissage_du_brin_montant)*0.005) +1,ROUNDDOWN(SUM($C$19:C22)/Espacement_Véhicules+1,0)))</f>
        <v>0</v>
      </c>
      <c r="X22" s="236">
        <f>IF($C22=0,0,IF(ROUNDDOWN(SUM($C$20:C22)/Espacement_Véhicules+1,0)&gt;NMaxSiègeEquipe*(1+(100-Remplissage_du_brin_montant)*0.005),NMaxSiègeEquipe*(1+(100-Remplissage_du_brin_montant)*0.005) +1,ROUNDDOWN(SUM($C$20:C22)/Espacement_Véhicules+1,0)))</f>
        <v>0</v>
      </c>
      <c r="Y22" s="236">
        <f>IF($C22=0,0,IF(ROUNDDOWN(SUM($C$21:C22)/Espacement_Véhicules+1,0)&gt;NMaxSiègeEquipe*(1+(100-Remplissage_du_brin_montant)*0.005),NMaxSiègeEquipe*(1+(100-Remplissage_du_brin_montant)*0.005) +1,ROUNDDOWN(SUM($C$21:C22)/Espacement_Véhicules+1,0)))</f>
        <v>0</v>
      </c>
      <c r="Z22" s="236">
        <f>IF($C22=0,0,ROUNDDOWN($C22/Espacement_Véhicules+1,0))</f>
        <v>0</v>
      </c>
      <c r="AA22" s="350"/>
      <c r="AB22" s="350"/>
      <c r="AC22" s="350"/>
      <c r="AD22" s="350"/>
      <c r="AE22" s="350"/>
      <c r="AF22" s="350"/>
      <c r="AG22" s="350"/>
      <c r="AH22" s="350"/>
      <c r="AI22" s="350"/>
      <c r="AJ22" s="356">
        <f t="shared" si="0"/>
        <v>0</v>
      </c>
      <c r="AK22" s="356">
        <f t="shared" si="10"/>
        <v>0</v>
      </c>
      <c r="AL22" s="356">
        <f t="shared" si="14"/>
        <v>0</v>
      </c>
      <c r="AM22" s="356">
        <f t="shared" si="18"/>
        <v>0</v>
      </c>
      <c r="AN22" s="356">
        <f t="shared" si="22"/>
        <v>0</v>
      </c>
      <c r="AO22" s="356">
        <f t="shared" si="26"/>
        <v>0</v>
      </c>
      <c r="AP22" s="356">
        <f t="shared" si="30"/>
        <v>0</v>
      </c>
      <c r="AQ22" s="356">
        <f t="shared" si="34"/>
        <v>0</v>
      </c>
      <c r="AR22" s="356">
        <f t="shared" si="38"/>
        <v>0</v>
      </c>
      <c r="AS22" s="356">
        <f t="shared" si="42"/>
        <v>0</v>
      </c>
      <c r="AT22" s="356">
        <f t="shared" si="46"/>
        <v>0</v>
      </c>
      <c r="AU22" s="356">
        <f t="shared" si="50"/>
        <v>0</v>
      </c>
      <c r="AV22" s="356">
        <f t="shared" si="54"/>
        <v>0</v>
      </c>
      <c r="AW22" s="356">
        <f t="shared" si="58"/>
        <v>0</v>
      </c>
      <c r="AX22" s="356">
        <f t="shared" si="62"/>
        <v>0</v>
      </c>
      <c r="AY22" s="356">
        <f t="shared" ref="AY22:AY31" si="66">IF($C22=0,0,IF(AY21+$F22*(Y22-Y21)*Remplissage_du_brin_montant/100+$H22&gt;=Durée_maximale_d_évacuation,Durée_maximale_d_évacuation,IF(AY21+$F22*(Y22-Y21)*Remplissage_du_brin_montant/100+$G22+$F23*(Y23-Y22)*Remplissage_du_brin_montant/100+$H23&gt;=Durée_maximale_d_évacuation,AY21+$F22*(Y22-Y21)*Remplissage_du_brin_montant/100+$H22,AY21+$F22*(Y22-Y21)*Remplissage_du_brin_montant/100+$G22)))</f>
        <v>0</v>
      </c>
      <c r="AZ22" s="356">
        <f>IF($C22=0,0,IF($E22+$F22*Z22*Remplissage_du_brin_montant/100+$G22+($F23-$F22)*Z23*Remplissage_du_brin_montant/100+$H23&gt;=Durée_maximale_d_évacuation,$E22+$F22*Z22*Remplissage_du_brin_montant/100+$H22,$E22+$F22*Z22*Remplissage_du_brin_montant/100+$G22))</f>
        <v>0</v>
      </c>
      <c r="BA22" s="357"/>
      <c r="BB22" s="357"/>
      <c r="BC22" s="357"/>
      <c r="BD22" s="357"/>
      <c r="BE22" s="357"/>
      <c r="BF22" s="357"/>
      <c r="BG22" s="357"/>
      <c r="BH22" s="357"/>
      <c r="BI22" s="357"/>
      <c r="BJ22" s="224">
        <f t="shared" si="1"/>
        <v>0</v>
      </c>
      <c r="BK22" s="224">
        <f t="shared" si="11"/>
        <v>0</v>
      </c>
      <c r="BL22" s="224">
        <f t="shared" si="15"/>
        <v>0</v>
      </c>
      <c r="BM22" s="224">
        <f t="shared" si="19"/>
        <v>0</v>
      </c>
      <c r="BN22" s="224">
        <f t="shared" si="23"/>
        <v>0</v>
      </c>
      <c r="BO22" s="224">
        <f t="shared" si="27"/>
        <v>0</v>
      </c>
      <c r="BP22" s="224">
        <f t="shared" si="31"/>
        <v>0</v>
      </c>
      <c r="BQ22" s="224">
        <f t="shared" si="35"/>
        <v>0</v>
      </c>
      <c r="BR22" s="224">
        <f t="shared" si="39"/>
        <v>0</v>
      </c>
      <c r="BS22" s="224">
        <f t="shared" si="43"/>
        <v>0</v>
      </c>
      <c r="BT22" s="224">
        <f t="shared" si="47"/>
        <v>0</v>
      </c>
      <c r="BU22" s="224">
        <f t="shared" si="51"/>
        <v>0</v>
      </c>
      <c r="BV22" s="224">
        <f t="shared" si="55"/>
        <v>0</v>
      </c>
      <c r="BW22" s="224">
        <f t="shared" si="59"/>
        <v>0</v>
      </c>
      <c r="BX22" s="224">
        <f t="shared" si="63"/>
        <v>0</v>
      </c>
      <c r="BY22" s="224">
        <f t="shared" ref="BY22:BY31" si="67">IF(OR(BX22=1,BY21=0),0,IF(Y22=0,0,IF(Y22&lt;NMaxSiègeEquipe*(1+(100-Remplissage_du_brin_montant)*0.005)+1,IF(AY22&lt;Durée_maximale_d_évacuation,1,0),0)))</f>
        <v>0</v>
      </c>
      <c r="BZ22" s="224">
        <f>IF(SUM(BJ22:BY22)&gt;0,0,IF(Z22=0,0,IF(Z22&lt;NMaxSiègeEquipe*(1+(100-Remplissage_du_brin_montant)*0.005)+1,IF(AZ22&lt;Durée_maximale_d_évacuation,1,0),0)))</f>
        <v>0</v>
      </c>
      <c r="CA22" s="225"/>
      <c r="CB22" s="225"/>
      <c r="CC22" s="225"/>
      <c r="CD22" s="225"/>
      <c r="CE22" s="225"/>
      <c r="CF22" s="225"/>
      <c r="CG22" s="225"/>
      <c r="CH22" s="225"/>
      <c r="CI22" s="225"/>
      <c r="CJ22" s="332">
        <f t="shared" si="2"/>
        <v>0</v>
      </c>
      <c r="CK22" s="236">
        <f t="shared" si="3"/>
        <v>0</v>
      </c>
      <c r="CL22" s="238">
        <f t="shared" si="4"/>
        <v>0</v>
      </c>
      <c r="CM22" s="224">
        <f>IF(Remplissage_du_brin_montant=0,0,IF(16&gt;NBPylône,"",IF(SUM(BJ22:BY22)=1,CM21,CM21+1)))</f>
        <v>0</v>
      </c>
      <c r="CN22" s="17"/>
      <c r="CO22" s="236">
        <f>IF(C22=0,0,IF(ROUNDDOWN(SUM($C$6:C22)/Espacement_Véhicules+1,0)&gt;NMaxSiègeEquipe*(1+(100-Remplissage_du_brin_descendant)*0.005),NMaxSiègeEquipe*(1+(100-Remplissage_du_brin_descendant)*0.005) +1,ROUNDDOWN(SUM($C$6:C22)/Espacement_Véhicules+1,0)))</f>
        <v>0</v>
      </c>
      <c r="CP22" s="236">
        <f>IF($C22=0,0,IF(ROUNDDOWN(SUM($C$7:C22)/Espacement_Véhicules+1,0)&gt;NMaxSiègeEquipe*(1+(100-Remplissage_du_brin_descendant)*0.005),NMaxSiègeEquipe*(1+(100-Remplissage_du_brin_descendant)*0.005) +1,ROUNDDOWN(SUM($C$7:C22)/Espacement_Véhicules+1,0)))</f>
        <v>0</v>
      </c>
      <c r="CQ22" s="236">
        <f>IF($C22=0,0,IF(ROUNDDOWN(SUM($C$8:C22)/Espacement_Véhicules+1,0)&gt;NMaxSiègeEquipe*(1+(100-Remplissage_du_brin_descendant)*0.005),NMaxSiègeEquipe*(1+(100-Remplissage_du_brin_descendant)*0.005) +1,ROUNDDOWN(SUM($C$8:C22)/Espacement_Véhicules+1,0)))</f>
        <v>0</v>
      </c>
      <c r="CR22" s="236">
        <f>IF($C22=0,0,IF(ROUNDDOWN(SUM($C$9:C22)/Espacement_Véhicules+1,0)&gt;NMaxSiègeEquipe*(1+(100-Remplissage_du_brin_descendant)*0.005),NMaxSiègeEquipe*(1+(100-Remplissage_du_brin_descendant)*0.005) +1,ROUNDDOWN(SUM($C$9:C22)/Espacement_Véhicules+1,0)))</f>
        <v>0</v>
      </c>
      <c r="CS22" s="236">
        <f>IF($C22=0,0,IF(ROUNDDOWN(SUM($C$10:C22)/Espacement_Véhicules+1,0)&gt;NMaxSiègeEquipe*(1+(100-Remplissage_du_brin_descendant)*0.005),NMaxSiègeEquipe*(1+(100-Remplissage_du_brin_descendant)*0.005) +1,ROUNDDOWN(SUM($C$10:C22)/Espacement_Véhicules+1,0)))</f>
        <v>0</v>
      </c>
      <c r="CT22" s="236">
        <f>IF($C22=0,0,IF(ROUNDDOWN(SUM($C$11:C22)/Espacement_Véhicules+1,0)&gt;NMaxSiègeEquipe*(1+(100-Remplissage_du_brin_descendant)*0.005),NMaxSiègeEquipe*(1+(100-Remplissage_du_brin_descendant)*0.005) +1,ROUNDDOWN(SUM($C$11:C22)/Espacement_Véhicules+1,0)))</f>
        <v>0</v>
      </c>
      <c r="CU22" s="236">
        <f>IF($C22=0,0,IF(ROUNDDOWN(SUM($C$12:C22)/Espacement_Véhicules+1,0)&gt;NMaxSiègeEquipe*(1+(100-Remplissage_du_brin_descendant)*0.005),NMaxSiègeEquipe*(1+(100-Remplissage_du_brin_descendant)*0.005) +1,ROUNDDOWN(SUM($C$12:C22)/Espacement_Véhicules+1,0)))</f>
        <v>0</v>
      </c>
      <c r="CV22" s="236">
        <f>IF($C22=0,0,IF(ROUNDDOWN(SUM($C$13:C22)/Espacement_Véhicules+1,0)&gt;NMaxSiègeEquipe*(1+(100-Remplissage_du_brin_descendant)*0.005),NMaxSiègeEquipe*(1+(100-Remplissage_du_brin_descendant)*0.005) +1,ROUNDDOWN(SUM($C$13:C22)/Espacement_Véhicules+1,0)))</f>
        <v>0</v>
      </c>
      <c r="CW22" s="236">
        <f>IF($C22=0,0,IF(ROUNDDOWN(SUM($C$14:C22)/Espacement_Véhicules+1,0)&gt;NMaxSiègeEquipe*(1+(100-Remplissage_du_brin_descendant)*0.005),NMaxSiègeEquipe*(1+(100-Remplissage_du_brin_descendant)*0.005) +1,ROUNDDOWN(SUM($C$14:C22)/Espacement_Véhicules+1,0)))</f>
        <v>0</v>
      </c>
      <c r="CX22" s="236">
        <f>IF($C22=0,0,IF(ROUNDDOWN(SUM($C$15:C22)/Espacement_Véhicules+1,0)&gt;NMaxSiègeEquipe*(1+(100-Remplissage_du_brin_descendant)*0.005),NMaxSiègeEquipe*(1+(100-Remplissage_du_brin_descendant)*0.005) +1,ROUNDDOWN(SUM($C$15:C22)/Espacement_Véhicules+1,0)))</f>
        <v>0</v>
      </c>
      <c r="CY22" s="236">
        <f>IF($C22=0,0,IF(ROUNDDOWN(SUM($C$16:C22)/Espacement_Véhicules+1,0)&gt;NMaxSiègeEquipe*(1+(100-Remplissage_du_brin_descendant)*0.005),NMaxSiègeEquipe*(1+(100-Remplissage_du_brin_descendant)*0.005) +1,ROUNDDOWN(SUM($C$16:C22)/Espacement_Véhicules+1,0)))</f>
        <v>0</v>
      </c>
      <c r="CZ22" s="236">
        <f>IF($C22=0,0,IF(ROUNDDOWN(SUM($C$17:C22)/Espacement_Véhicules+1,0)&gt;NMaxSiègeEquipe*(1+(100-Remplissage_du_brin_descendant)*0.005),NMaxSiègeEquipe*(1+(100-Remplissage_du_brin_descendant)*0.005) +1,ROUNDDOWN(SUM($C$17:C22)/Espacement_Véhicules+1,0)))</f>
        <v>0</v>
      </c>
      <c r="DA22" s="236">
        <f>IF($C22=0,0,IF(ROUNDDOWN(SUM($C$18:C22)/Espacement_Véhicules+1,0)&gt;NMaxSiègeEquipe*(1+(100-Remplissage_du_brin_descendant)*0.005),NMaxSiègeEquipe*(1+(100-Remplissage_du_brin_descendant)*0.005) +1,ROUNDDOWN(SUM($C$18:C22)/Espacement_Véhicules+1,0)))</f>
        <v>0</v>
      </c>
      <c r="DB22" s="236">
        <f>IF($C22=0,0,IF(ROUNDDOWN(SUM($C$19:C22)/Espacement_Véhicules+1,0)&gt;NMaxSiègeEquipe*(1+(100-Remplissage_du_brin_descendant)*0.005),NMaxSiègeEquipe*(1+(100-Remplissage_du_brin_descendant)*0.005) +1,ROUNDDOWN(SUM($C$19:C22)/Espacement_Véhicules+1,0)))</f>
        <v>0</v>
      </c>
      <c r="DC22" s="236">
        <f>IF($C22=0,0,IF(ROUNDDOWN(SUM($C$20:C22)/Espacement_Véhicules+1,0)&gt;NMaxSiègeEquipe*(1+(100-Remplissage_du_brin_descendant)*0.005),NMaxSiègeEquipe*(1+(100-Remplissage_du_brin_descendant)*0.005) +1,ROUNDDOWN(SUM($C$20:C22)/Espacement_Véhicules+1,0)))</f>
        <v>0</v>
      </c>
      <c r="DD22" s="236">
        <f>IF($C22=0,0,IF(ROUNDDOWN(SUM($C$21:C22)/Espacement_Véhicules+1,0)&gt;NMaxSiègeEquipe*(1+(100-Remplissage_du_brin_descendant)*0.005),NMaxSiègeEquipe*(1+(100-Remplissage_du_brin_descendant)*0.005) +1,ROUNDDOWN(SUM($C$21:C22)/Espacement_Véhicules+1,0)))</f>
        <v>0</v>
      </c>
      <c r="DE22" s="236">
        <f>IF($C22=0,0,ROUNDDOWN($C22/Espacement_Véhicules+1,0))</f>
        <v>0</v>
      </c>
      <c r="DF22" s="350"/>
      <c r="DG22" s="350"/>
      <c r="DH22" s="350"/>
      <c r="DI22" s="350"/>
      <c r="DJ22" s="350"/>
      <c r="DK22" s="350"/>
      <c r="DL22" s="350"/>
      <c r="DM22" s="350"/>
      <c r="DN22" s="350"/>
      <c r="DO22" s="356">
        <f t="shared" si="5"/>
        <v>0</v>
      </c>
      <c r="DP22" s="356">
        <f t="shared" si="12"/>
        <v>0</v>
      </c>
      <c r="DQ22" s="356">
        <f t="shared" si="16"/>
        <v>0</v>
      </c>
      <c r="DR22" s="356">
        <f t="shared" si="20"/>
        <v>0</v>
      </c>
      <c r="DS22" s="356">
        <f t="shared" si="24"/>
        <v>0</v>
      </c>
      <c r="DT22" s="356">
        <f t="shared" si="28"/>
        <v>0</v>
      </c>
      <c r="DU22" s="356">
        <f t="shared" si="32"/>
        <v>0</v>
      </c>
      <c r="DV22" s="356">
        <f t="shared" si="36"/>
        <v>0</v>
      </c>
      <c r="DW22" s="356">
        <f t="shared" si="40"/>
        <v>0</v>
      </c>
      <c r="DX22" s="356">
        <f t="shared" si="44"/>
        <v>0</v>
      </c>
      <c r="DY22" s="356">
        <f t="shared" si="48"/>
        <v>0</v>
      </c>
      <c r="DZ22" s="356">
        <f t="shared" si="52"/>
        <v>0</v>
      </c>
      <c r="EA22" s="356">
        <f t="shared" si="56"/>
        <v>0</v>
      </c>
      <c r="EB22" s="356">
        <f t="shared" si="60"/>
        <v>0</v>
      </c>
      <c r="EC22" s="356">
        <f t="shared" si="64"/>
        <v>0</v>
      </c>
      <c r="ED22" s="356">
        <f t="shared" ref="ED22:ED31" si="68">IF($C22=0,0,IF(ED21+$F22*(DD22-DD21)*Remplissage_du_brin_descendant/100+$H22&gt;=Durée_maximale_d_évacuation,Durée_maximale_d_évacuation,IF(ED21+$F22*(DD22-DD21)*Remplissage_du_brin_descendant/100+$G22+$F23*(DD23-DD22)*Remplissage_du_brin_descendant/100+$H23&gt;=Durée_maximale_d_évacuation,ED21+$F22*(DD22-DD21)*Remplissage_du_brin_descendant/100+$H22,ED21+$F22*(DD22-DD21)*Remplissage_du_brin_descendant/100+$G22)))</f>
        <v>0</v>
      </c>
      <c r="EE22" s="356">
        <f>IF($C22=0,0,IF($E22+$F22*DE22*Remplissage_du_brin_descendant/100+$G22+($F23-$F22)*DE23*Remplissage_du_brin_descendant/100+$H23&gt;=Durée_maximale_d_évacuation,$E22+$F22*DE22*Remplissage_du_brin_descendant/100+$H22,$E22+$F22*DE22*Remplissage_du_brin_descendant/100+$G22))</f>
        <v>0</v>
      </c>
      <c r="EF22" s="357"/>
      <c r="EG22" s="357"/>
      <c r="EH22" s="357"/>
      <c r="EI22" s="357"/>
      <c r="EJ22" s="357"/>
      <c r="EK22" s="357"/>
      <c r="EL22" s="357"/>
      <c r="EM22" s="357"/>
      <c r="EN22" s="357"/>
      <c r="EO22" s="224">
        <f t="shared" si="6"/>
        <v>0</v>
      </c>
      <c r="EP22" s="224">
        <f t="shared" si="13"/>
        <v>0</v>
      </c>
      <c r="EQ22" s="224">
        <f t="shared" si="17"/>
        <v>0</v>
      </c>
      <c r="ER22" s="224">
        <f t="shared" si="21"/>
        <v>0</v>
      </c>
      <c r="ES22" s="224">
        <f t="shared" si="25"/>
        <v>0</v>
      </c>
      <c r="ET22" s="224">
        <f t="shared" si="29"/>
        <v>0</v>
      </c>
      <c r="EU22" s="224">
        <f t="shared" si="33"/>
        <v>0</v>
      </c>
      <c r="EV22" s="224">
        <f t="shared" si="37"/>
        <v>0</v>
      </c>
      <c r="EW22" s="224">
        <f t="shared" si="41"/>
        <v>0</v>
      </c>
      <c r="EX22" s="224">
        <f t="shared" si="45"/>
        <v>0</v>
      </c>
      <c r="EY22" s="224">
        <f t="shared" si="49"/>
        <v>0</v>
      </c>
      <c r="EZ22" s="224">
        <f t="shared" si="53"/>
        <v>0</v>
      </c>
      <c r="FA22" s="224">
        <f t="shared" si="57"/>
        <v>0</v>
      </c>
      <c r="FB22" s="224">
        <f t="shared" si="61"/>
        <v>0</v>
      </c>
      <c r="FC22" s="224">
        <f t="shared" si="65"/>
        <v>0</v>
      </c>
      <c r="FD22" s="224">
        <f t="shared" ref="FD22:FD31" si="69">IF(OR(FC22=1,FD21=0),0,IF(DD22=0,0,IF(DD22&lt;NMaxSiègeEquipe*(1+(100-Remplissage_du_brin_descendant)*0.005)+1,IF(ED22&lt;Durée_maximale_d_évacuation,1,0),0)))</f>
        <v>0</v>
      </c>
      <c r="FE22" s="224">
        <f>IF(SUM(EO22:FD22)&gt;0,0,IF(DE22=0,0,IF(DE22&lt;NMaxSiègeEquipe*(1+(100-Remplissage_du_brin_descendant)*0.005)+1,IF(EE22&lt;Durée_maximale_d_évacuation,1,0),0)))</f>
        <v>0</v>
      </c>
      <c r="FF22" s="225"/>
      <c r="FG22" s="225"/>
      <c r="FH22" s="225"/>
      <c r="FI22" s="225"/>
      <c r="FJ22" s="225"/>
      <c r="FK22" s="225"/>
      <c r="FL22" s="225"/>
      <c r="FM22" s="225"/>
      <c r="FN22" s="225"/>
      <c r="FO22" s="332">
        <f t="shared" si="7"/>
        <v>0</v>
      </c>
      <c r="FP22" s="236">
        <f t="shared" si="8"/>
        <v>0</v>
      </c>
      <c r="FQ22" s="238">
        <f t="shared" si="9"/>
        <v>0</v>
      </c>
      <c r="FR22" s="224">
        <f>IF(Remplissage_du_brin_descendant=0,0,IF(16&gt;NBPylône,"",IF(SUM(EO22:FD22)=1,FR21,FR21+1)))</f>
        <v>0</v>
      </c>
    </row>
    <row r="23" spans="1:174" x14ac:dyDescent="0.2">
      <c r="A23" s="62" t="str">
        <f>'     2-DL     '!C25</f>
        <v/>
      </c>
      <c r="B23" s="65" t="str">
        <f>'     2-DL     '!D25</f>
        <v/>
      </c>
      <c r="C23" s="63">
        <f>IF(B23="",0,'     2-DL     '!E25)</f>
        <v>0</v>
      </c>
      <c r="D23" s="66"/>
      <c r="E23" s="4">
        <f>IF(C23=0,0,'     2-DL     '!F25)</f>
        <v>0</v>
      </c>
      <c r="F23" s="4">
        <f>IF(C23=0,0,IF(S_TempsEvacuationVehicule=1,A_TempsEvacuationVéhicule,'     2-DL     '!H25))</f>
        <v>0</v>
      </c>
      <c r="G23" s="4">
        <f>IF(C23=0,0,IF(S_TempsAccèsPortéeSuivante=1,A_TempsAccèsPortéeSuivante,'     2-DL     '!J25))</f>
        <v>0</v>
      </c>
      <c r="H23" s="4">
        <f>IF(C23=0,0,'     2-DL     '!L25)</f>
        <v>0</v>
      </c>
      <c r="I23" s="66"/>
      <c r="J23" s="236">
        <f>IF($C23=0,0,IF(ROUNDDOWN(SUM($C$6:C23)/Espacement_Véhicules+1,0)&gt;NMaxSiègeEquipe*(1+(100-Remplissage_du_brin_montant)*0.005),NMaxSiègeEquipe*(1+(100-Remplissage_du_brin_montant)*0.005) +1,ROUNDDOWN(SUM($C$6:C23)/Espacement_Véhicules+1,0)))</f>
        <v>0</v>
      </c>
      <c r="K23" s="236">
        <f>IF($C23=0,0,IF(ROUNDDOWN(SUM($C$7:C23)/Espacement_Véhicules+1,0)&gt;NMaxSiègeEquipe*(1+(100-Remplissage_du_brin_montant)*0.005),NMaxSiègeEquipe*(1+(100-Remplissage_du_brin_montant)*0.005) +1,ROUNDDOWN(SUM($C$7:C23)/Espacement_Véhicules+1,0)))</f>
        <v>0</v>
      </c>
      <c r="L23" s="236">
        <f>IF($C23=0,0,IF(ROUNDDOWN(SUM($C$8:C23)/Espacement_Véhicules+1,0)&gt;NMaxSiègeEquipe*(1+(100-Remplissage_du_brin_montant)*0.005),NMaxSiègeEquipe*(1+(100-Remplissage_du_brin_montant)*0.005) +1,ROUNDDOWN(SUM($C$8:C23)/Espacement_Véhicules+1,0)))</f>
        <v>0</v>
      </c>
      <c r="M23" s="236">
        <f>IF($C23=0,0,IF(ROUNDDOWN(SUM($C$9:C23)/Espacement_Véhicules+1,0)&gt;NMaxSiègeEquipe*(1+(100-Remplissage_du_brin_montant)*0.005),NMaxSiègeEquipe*(1+(100-Remplissage_du_brin_montant)*0.005) +1,ROUNDDOWN(SUM($C$9:C23)/Espacement_Véhicules+1,0)))</f>
        <v>0</v>
      </c>
      <c r="N23" s="236">
        <f>IF($C23=0,0,IF(ROUNDDOWN(SUM($C10:$C23)/Espacement_Véhicules+1,0)&gt;NMaxSiègeEquipe*(1+(100-Remplissage_du_brin_montant)*0.005),NMaxSiègeEquipe +1,ROUNDDOWN(SUM($C10:$C23)/Espacement_Véhicules+1,0)))</f>
        <v>0</v>
      </c>
      <c r="O23" s="236">
        <f>IF($C23=0,0,IF(ROUNDDOWN(SUM($C22:C23)/Espacement_Véhicules+1,0)&gt;NMaxSiègeEquipe*(1+(100-Remplissage_du_brin_montant)*0.005),NMaxSiègeEquipe*(1+(100-Remplissage_du_brin_montant)*0.005) +1,ROUNDDOWN(SUM($C$11:C23)/Espacement_Véhicules+1,0)))</f>
        <v>0</v>
      </c>
      <c r="P23" s="236">
        <f>IF($C23=0,0,IF(ROUNDDOWN(SUM($C$12:C23)/Espacement_Véhicules+1,0)&gt;NMaxSiègeEquipe*(1+(100-Remplissage_du_brin_montant)*0.005),NMaxSiègeEquipe*(1+(100-Remplissage_du_brin_montant)*0.005) +1,ROUNDDOWN(SUM($C$12:C23)/Espacement_Véhicules+1,0)))</f>
        <v>0</v>
      </c>
      <c r="Q23" s="236">
        <f>IF($C23=0,0,IF(ROUNDDOWN(SUM($C$13:C23)/Espacement_Véhicules+1,0)&gt;NMaxSiègeEquipe*(1+(100-Remplissage_du_brin_montant)*0.005),NMaxSiègeEquipe*(1+(100-Remplissage_du_brin_montant)*0.005) +1,ROUNDDOWN(SUM($C$13:C23)/Espacement_Véhicules+1,0)))</f>
        <v>0</v>
      </c>
      <c r="R23" s="236">
        <f>IF($C23=0,0,IF(ROUNDDOWN(SUM($C$14:C23)/Espacement_Véhicules+1,0)&gt;NMaxSiègeEquipe*(1+(100-Remplissage_du_brin_montant)*0.005),NMaxSiègeEquipe*(1+(100-Remplissage_du_brin_montant)*0.005) +1,ROUNDDOWN(SUM($C$14:C23)/Espacement_Véhicules+1,0)))</f>
        <v>0</v>
      </c>
      <c r="S23" s="236">
        <f>IF($C23=0,0,IF(ROUNDDOWN(SUM($C$15:C23)/Espacement_Véhicules+1,0)&gt;NMaxSiègeEquipe*(1+(100-Remplissage_du_brin_montant)*0.005),NMaxSiègeEquipe*(1+(100-Remplissage_du_brin_montant)*0.005) +1,ROUNDDOWN(SUM($C$15:C23)/Espacement_Véhicules+1,0)))</f>
        <v>0</v>
      </c>
      <c r="T23" s="236">
        <f>IF($C23=0,0,IF(ROUNDDOWN(SUM($C$16:C23)/Espacement_Véhicules+1,0)&gt;NMaxSiègeEquipe*(1+(100-Remplissage_du_brin_montant)*0.005),NMaxSiègeEquipe*(1+(100-Remplissage_du_brin_montant)*0.005) +1,ROUNDDOWN(SUM($C$16:C23)/Espacement_Véhicules+1,0)))</f>
        <v>0</v>
      </c>
      <c r="U23" s="236">
        <f>IF($C23=0,0,IF(ROUNDDOWN(SUM($C$17:C23)/Espacement_Véhicules+1,0)&gt;NMaxSiègeEquipe*(1+(100-Remplissage_du_brin_montant)*0.005),NMaxSiègeEquipe*(1+(100-Remplissage_du_brin_montant)*0.005) +1,ROUNDDOWN(SUM($C$17:C23)/Espacement_Véhicules+1,0)))</f>
        <v>0</v>
      </c>
      <c r="V23" s="236">
        <f>IF($C23=0,0,IF(ROUNDDOWN(SUM($C$18:C23)/Espacement_Véhicules+1,0)&gt;NMaxSiègeEquipe*(1+(100-Remplissage_du_brin_montant)*0.005),NMaxSiègeEquipe*(1+(100-Remplissage_du_brin_montant)*0.005) +1,ROUNDDOWN(SUM($C$18:C23)/Espacement_Véhicules+1,0)))</f>
        <v>0</v>
      </c>
      <c r="W23" s="236">
        <f>IF($C23=0,0,IF(ROUNDDOWN(SUM($C$19:C23)/Espacement_Véhicules+1,0)&gt;NMaxSiègeEquipe*(1+(100-Remplissage_du_brin_montant)*0.005),NMaxSiègeEquipe*(1+(100-Remplissage_du_brin_montant)*0.005) +1,ROUNDDOWN(SUM($C$19:C23)/Espacement_Véhicules+1,0)))</f>
        <v>0</v>
      </c>
      <c r="X23" s="236">
        <f>IF($C23=0,0,IF(ROUNDDOWN(SUM($C$20:C23)/Espacement_Véhicules+1,0)&gt;NMaxSiègeEquipe*(1+(100-Remplissage_du_brin_montant)*0.005),NMaxSiègeEquipe*(1+(100-Remplissage_du_brin_montant)*0.005) +1,ROUNDDOWN(SUM($C$20:C23)/Espacement_Véhicules+1,0)))</f>
        <v>0</v>
      </c>
      <c r="Y23" s="236">
        <f>IF($C23=0,0,IF(ROUNDDOWN(SUM($C$21:C23)/Espacement_Véhicules+1,0)&gt;NMaxSiègeEquipe*(1+(100-Remplissage_du_brin_montant)*0.005),NMaxSiègeEquipe*(1+(100-Remplissage_du_brin_montant)*0.005) +1,ROUNDDOWN(SUM($C$21:C23)/Espacement_Véhicules+1,0)))</f>
        <v>0</v>
      </c>
      <c r="Z23" s="236">
        <f>IF($C23=0,0,IF(ROUNDDOWN(SUM($C$22:C23)/Espacement_Véhicules+1,0)&gt;NMaxSiègeEquipe*(1+(100-Remplissage_du_brin_montant)*0.005),NMaxSiègeEquipe*(1+(100-Remplissage_du_brin_montant)*0.005) +1,ROUNDDOWN(SUM($C$22:C23)/Espacement_Véhicules+1,0)))</f>
        <v>0</v>
      </c>
      <c r="AA23" s="236">
        <f>IF($C23=0,0,ROUNDDOWN($C23/Espacement_Véhicules+1,0))</f>
        <v>0</v>
      </c>
      <c r="AB23" s="350"/>
      <c r="AC23" s="350"/>
      <c r="AD23" s="350"/>
      <c r="AE23" s="350"/>
      <c r="AF23" s="350"/>
      <c r="AG23" s="350"/>
      <c r="AH23" s="350"/>
      <c r="AI23" s="350"/>
      <c r="AJ23" s="356">
        <f t="shared" si="0"/>
        <v>0</v>
      </c>
      <c r="AK23" s="356">
        <f t="shared" si="10"/>
        <v>0</v>
      </c>
      <c r="AL23" s="356">
        <f t="shared" si="14"/>
        <v>0</v>
      </c>
      <c r="AM23" s="356">
        <f t="shared" si="18"/>
        <v>0</v>
      </c>
      <c r="AN23" s="356">
        <f t="shared" si="22"/>
        <v>0</v>
      </c>
      <c r="AO23" s="356">
        <f t="shared" si="26"/>
        <v>0</v>
      </c>
      <c r="AP23" s="356">
        <f t="shared" si="30"/>
        <v>0</v>
      </c>
      <c r="AQ23" s="356">
        <f t="shared" si="34"/>
        <v>0</v>
      </c>
      <c r="AR23" s="356">
        <f t="shared" si="38"/>
        <v>0</v>
      </c>
      <c r="AS23" s="356">
        <f t="shared" si="42"/>
        <v>0</v>
      </c>
      <c r="AT23" s="356">
        <f t="shared" si="46"/>
        <v>0</v>
      </c>
      <c r="AU23" s="356">
        <f t="shared" si="50"/>
        <v>0</v>
      </c>
      <c r="AV23" s="356">
        <f t="shared" si="54"/>
        <v>0</v>
      </c>
      <c r="AW23" s="356">
        <f t="shared" si="58"/>
        <v>0</v>
      </c>
      <c r="AX23" s="356">
        <f t="shared" si="62"/>
        <v>0</v>
      </c>
      <c r="AY23" s="356">
        <f t="shared" si="66"/>
        <v>0</v>
      </c>
      <c r="AZ23" s="356">
        <f t="shared" ref="AZ23:AZ31" si="70">IF($C23=0,0,IF(AZ22+$F23*(Z23-Z22)*Remplissage_du_brin_montant/100+$H23&gt;=Durée_maximale_d_évacuation,Durée_maximale_d_évacuation,IF(AZ22+$F23*(Z23-Z22)*Remplissage_du_brin_montant/100+$G23+$F24*(Z24-Z23)*Remplissage_du_brin_montant/100+$H24&gt;=Durée_maximale_d_évacuation,AZ22+$F23*(Z23-Z22)*Remplissage_du_brin_montant/100+$H23,AZ22+$F23*(Z23-Z22)*Remplissage_du_brin_montant/100+$G23)))</f>
        <v>0</v>
      </c>
      <c r="BA23" s="356">
        <f>IF($C23=0,0,IF($E23+$F23*AA23*Remplissage_du_brin_montant/100+$G23+($F24-$F23)*AA24*Remplissage_du_brin_montant/100+$H24&gt;=Durée_maximale_d_évacuation,$E23+$F23*AA23*Remplissage_du_brin_montant/100+$H23,$E23+$F23*AA23*Remplissage_du_brin_montant/100+$G23))</f>
        <v>0</v>
      </c>
      <c r="BB23" s="357"/>
      <c r="BC23" s="357"/>
      <c r="BD23" s="357"/>
      <c r="BE23" s="357"/>
      <c r="BF23" s="357"/>
      <c r="BG23" s="357"/>
      <c r="BH23" s="357"/>
      <c r="BI23" s="357"/>
      <c r="BJ23" s="224">
        <f t="shared" si="1"/>
        <v>0</v>
      </c>
      <c r="BK23" s="224">
        <f t="shared" si="11"/>
        <v>0</v>
      </c>
      <c r="BL23" s="224">
        <f t="shared" si="15"/>
        <v>0</v>
      </c>
      <c r="BM23" s="224">
        <f t="shared" si="19"/>
        <v>0</v>
      </c>
      <c r="BN23" s="224">
        <f t="shared" si="23"/>
        <v>0</v>
      </c>
      <c r="BO23" s="224">
        <f t="shared" si="27"/>
        <v>0</v>
      </c>
      <c r="BP23" s="224">
        <f t="shared" si="31"/>
        <v>0</v>
      </c>
      <c r="BQ23" s="224">
        <f t="shared" si="35"/>
        <v>0</v>
      </c>
      <c r="BR23" s="224">
        <f t="shared" si="39"/>
        <v>0</v>
      </c>
      <c r="BS23" s="224">
        <f t="shared" si="43"/>
        <v>0</v>
      </c>
      <c r="BT23" s="224">
        <f t="shared" si="47"/>
        <v>0</v>
      </c>
      <c r="BU23" s="224">
        <f t="shared" si="51"/>
        <v>0</v>
      </c>
      <c r="BV23" s="224">
        <f t="shared" si="55"/>
        <v>0</v>
      </c>
      <c r="BW23" s="224">
        <f t="shared" si="59"/>
        <v>0</v>
      </c>
      <c r="BX23" s="224">
        <f t="shared" si="63"/>
        <v>0</v>
      </c>
      <c r="BY23" s="224">
        <f t="shared" si="67"/>
        <v>0</v>
      </c>
      <c r="BZ23" s="224">
        <f t="shared" ref="BZ23:BZ31" si="71">IF(OR(BY23=1,BZ22=0),0,IF(Z23=0,0,IF(Z23&lt;NMaxSiègeEquipe*(1+(100-Remplissage_du_brin_montant)*0.005)+1,IF(AZ23&lt;Durée_maximale_d_évacuation,1,0),0)))</f>
        <v>0</v>
      </c>
      <c r="CA23" s="224">
        <f>IF(SUM(BJ23:BZ23)&gt;0,0,IF(AA23=0,0,IF(AA23&lt;NMaxSiègeEquipe*(1+(100-Remplissage_du_brin_montant)*0.005)+1,IF(BA23&lt;Durée_maximale_d_évacuation,1,0),0)))</f>
        <v>0</v>
      </c>
      <c r="CB23" s="225"/>
      <c r="CC23" s="225"/>
      <c r="CD23" s="225"/>
      <c r="CE23" s="225"/>
      <c r="CF23" s="225"/>
      <c r="CG23" s="225"/>
      <c r="CH23" s="225"/>
      <c r="CI23" s="225"/>
      <c r="CJ23" s="332">
        <f t="shared" si="2"/>
        <v>0</v>
      </c>
      <c r="CK23" s="236">
        <f t="shared" si="3"/>
        <v>0</v>
      </c>
      <c r="CL23" s="238">
        <f t="shared" si="4"/>
        <v>0</v>
      </c>
      <c r="CM23" s="224">
        <f>IF(Remplissage_du_brin_montant=0,0,IF(17&gt;NBPylône,"",IF(SUM(BJ23:BZ23)=1,CM22,CM22+1)))</f>
        <v>0</v>
      </c>
      <c r="CN23" s="17"/>
      <c r="CO23" s="236">
        <f>IF(C23=0,0,IF(ROUNDDOWN(SUM($C$6:C23)/Espacement_Véhicules+1,0)&gt;NMaxSiègeEquipe*(1+(100-Remplissage_du_brin_descendant)*0.005),NMaxSiègeEquipe*(1+(100-Remplissage_du_brin_descendant)*0.005) +1,ROUNDDOWN(SUM($C$6:C23)/Espacement_Véhicules+1,0)))</f>
        <v>0</v>
      </c>
      <c r="CP23" s="236">
        <f>IF($C23=0,0,IF(ROUNDDOWN(SUM($C$7:C23)/Espacement_Véhicules+1,0)&gt;NMaxSiègeEquipe*(1+(100-Remplissage_du_brin_descendant)*0.005),NMaxSiègeEquipe*(1+(100-Remplissage_du_brin_descendant)*0.005) +1,ROUNDDOWN(SUM($C$7:C23)/Espacement_Véhicules+1,0)))</f>
        <v>0</v>
      </c>
      <c r="CQ23" s="236">
        <f>IF($C23=0,0,IF(ROUNDDOWN(SUM($C$8:C23)/Espacement_Véhicules+1,0)&gt;NMaxSiègeEquipe*(1+(100-Remplissage_du_brin_descendant)*0.005),NMaxSiègeEquipe*(1+(100-Remplissage_du_brin_descendant)*0.005) +1,ROUNDDOWN(SUM($C$8:C23)/Espacement_Véhicules+1,0)))</f>
        <v>0</v>
      </c>
      <c r="CR23" s="236">
        <f>IF($C23=0,0,IF(ROUNDDOWN(SUM($C$9:C23)/Espacement_Véhicules+1,0)&gt;NMaxSiègeEquipe*(1+(100-Remplissage_du_brin_descendant)*0.005),NMaxSiègeEquipe*(1+(100-Remplissage_du_brin_descendant)*0.005) +1,ROUNDDOWN(SUM($C$9:C23)/Espacement_Véhicules+1,0)))</f>
        <v>0</v>
      </c>
      <c r="CS23" s="236">
        <f>IF($C23=0,0,IF(ROUNDDOWN(SUM($C$10:C23)/Espacement_Véhicules+1,0)&gt;NMaxSiègeEquipe*(1+(100-Remplissage_du_brin_descendant)*0.005),NMaxSiègeEquipe*(1+(100-Remplissage_du_brin_descendant)*0.005) +1,ROUNDDOWN(SUM($C$10:C23)/Espacement_Véhicules+1,0)))</f>
        <v>0</v>
      </c>
      <c r="CT23" s="236">
        <f>IF($C23=0,0,IF(ROUNDDOWN(SUM($C$11:C23)/Espacement_Véhicules+1,0)&gt;NMaxSiègeEquipe*(1+(100-Remplissage_du_brin_descendant)*0.005),NMaxSiègeEquipe*(1+(100-Remplissage_du_brin_descendant)*0.005) +1,ROUNDDOWN(SUM($C$11:C23)/Espacement_Véhicules+1,0)))</f>
        <v>0</v>
      </c>
      <c r="CU23" s="236">
        <f>IF($C23=0,0,IF(ROUNDDOWN(SUM($C$12:C23)/Espacement_Véhicules+1,0)&gt;NMaxSiègeEquipe*(1+(100-Remplissage_du_brin_descendant)*0.005),NMaxSiègeEquipe*(1+(100-Remplissage_du_brin_descendant)*0.005) +1,ROUNDDOWN(SUM($C$12:C23)/Espacement_Véhicules+1,0)))</f>
        <v>0</v>
      </c>
      <c r="CV23" s="236">
        <f>IF($C23=0,0,IF(ROUNDDOWN(SUM($C$13:C23)/Espacement_Véhicules+1,0)&gt;NMaxSiègeEquipe*(1+(100-Remplissage_du_brin_descendant)*0.005),NMaxSiègeEquipe*(1+(100-Remplissage_du_brin_descendant)*0.005) +1,ROUNDDOWN(SUM($C$13:C23)/Espacement_Véhicules+1,0)))</f>
        <v>0</v>
      </c>
      <c r="CW23" s="236">
        <f>IF($C23=0,0,IF(ROUNDDOWN(SUM($C$14:C23)/Espacement_Véhicules+1,0)&gt;NMaxSiègeEquipe*(1+(100-Remplissage_du_brin_descendant)*0.005),NMaxSiègeEquipe*(1+(100-Remplissage_du_brin_descendant)*0.005) +1,ROUNDDOWN(SUM($C$14:C23)/Espacement_Véhicules+1,0)))</f>
        <v>0</v>
      </c>
      <c r="CX23" s="236">
        <f>IF($C23=0,0,IF(ROUNDDOWN(SUM($C$15:C23)/Espacement_Véhicules+1,0)&gt;NMaxSiègeEquipe*(1+(100-Remplissage_du_brin_descendant)*0.005),NMaxSiègeEquipe*(1+(100-Remplissage_du_brin_descendant)*0.005) +1,ROUNDDOWN(SUM($C$15:C23)/Espacement_Véhicules+1,0)))</f>
        <v>0</v>
      </c>
      <c r="CY23" s="236">
        <f>IF($C23=0,0,IF(ROUNDDOWN(SUM($C$16:C23)/Espacement_Véhicules+1,0)&gt;NMaxSiègeEquipe*(1+(100-Remplissage_du_brin_descendant)*0.005),NMaxSiègeEquipe*(1+(100-Remplissage_du_brin_descendant)*0.005) +1,ROUNDDOWN(SUM($C$16:C23)/Espacement_Véhicules+1,0)))</f>
        <v>0</v>
      </c>
      <c r="CZ23" s="236">
        <f>IF($C23=0,0,IF(ROUNDDOWN(SUM($C$17:C23)/Espacement_Véhicules+1,0)&gt;NMaxSiègeEquipe*(1+(100-Remplissage_du_brin_descendant)*0.005),NMaxSiègeEquipe*(1+(100-Remplissage_du_brin_descendant)*0.005) +1,ROUNDDOWN(SUM($C$17:C23)/Espacement_Véhicules+1,0)))</f>
        <v>0</v>
      </c>
      <c r="DA23" s="236">
        <f>IF($C23=0,0,IF(ROUNDDOWN(SUM($C$18:C23)/Espacement_Véhicules+1,0)&gt;NMaxSiègeEquipe*(1+(100-Remplissage_du_brin_descendant)*0.005),NMaxSiègeEquipe*(1+(100-Remplissage_du_brin_descendant)*0.005) +1,ROUNDDOWN(SUM($C$18:C23)/Espacement_Véhicules+1,0)))</f>
        <v>0</v>
      </c>
      <c r="DB23" s="236">
        <f>IF($C23=0,0,IF(ROUNDDOWN(SUM($C$19:C23)/Espacement_Véhicules+1,0)&gt;NMaxSiègeEquipe*(1+(100-Remplissage_du_brin_descendant)*0.005),NMaxSiègeEquipe*(1+(100-Remplissage_du_brin_descendant)*0.005) +1,ROUNDDOWN(SUM($C$19:C23)/Espacement_Véhicules+1,0)))</f>
        <v>0</v>
      </c>
      <c r="DC23" s="236">
        <f>IF($C23=0,0,IF(ROUNDDOWN(SUM($C$20:C23)/Espacement_Véhicules+1,0)&gt;NMaxSiègeEquipe*(1+(100-Remplissage_du_brin_descendant)*0.005),NMaxSiègeEquipe*(1+(100-Remplissage_du_brin_descendant)*0.005) +1,ROUNDDOWN(SUM($C$20:C23)/Espacement_Véhicules+1,0)))</f>
        <v>0</v>
      </c>
      <c r="DD23" s="236">
        <f>IF($C23=0,0,IF(ROUNDDOWN(SUM($C$21:C23)/Espacement_Véhicules+1,0)&gt;NMaxSiègeEquipe*(1+(100-Remplissage_du_brin_descendant)*0.005),NMaxSiègeEquipe*(1+(100-Remplissage_du_brin_descendant)*0.005) +1,ROUNDDOWN(SUM($C$21:C23)/Espacement_Véhicules+1,0)))</f>
        <v>0</v>
      </c>
      <c r="DE23" s="236">
        <f>IF($C23=0,0,IF(ROUNDDOWN(SUM($C$22:C23)/Espacement_Véhicules+1,0)&gt;NMaxSiègeEquipe*(1+(100-Remplissage_du_brin_descendant)*0.005),NMaxSiègeEquipe*(1+(100-Remplissage_du_brin_descendant)*0.005) +1,ROUNDDOWN(SUM($C$22:C23)/Espacement_Véhicules+1,0)))</f>
        <v>0</v>
      </c>
      <c r="DF23" s="236">
        <f>IF($C23=0,0,ROUNDDOWN($C23/Espacement_Véhicules+1,0))</f>
        <v>0</v>
      </c>
      <c r="DG23" s="350"/>
      <c r="DH23" s="350"/>
      <c r="DI23" s="350"/>
      <c r="DJ23" s="350"/>
      <c r="DK23" s="350"/>
      <c r="DL23" s="350"/>
      <c r="DM23" s="350"/>
      <c r="DN23" s="350"/>
      <c r="DO23" s="356">
        <f t="shared" si="5"/>
        <v>0</v>
      </c>
      <c r="DP23" s="356">
        <f t="shared" si="12"/>
        <v>0</v>
      </c>
      <c r="DQ23" s="356">
        <f t="shared" si="16"/>
        <v>0</v>
      </c>
      <c r="DR23" s="356">
        <f t="shared" si="20"/>
        <v>0</v>
      </c>
      <c r="DS23" s="356">
        <f t="shared" si="24"/>
        <v>0</v>
      </c>
      <c r="DT23" s="356">
        <f t="shared" si="28"/>
        <v>0</v>
      </c>
      <c r="DU23" s="356">
        <f t="shared" si="32"/>
        <v>0</v>
      </c>
      <c r="DV23" s="356">
        <f t="shared" si="36"/>
        <v>0</v>
      </c>
      <c r="DW23" s="356">
        <f t="shared" si="40"/>
        <v>0</v>
      </c>
      <c r="DX23" s="356">
        <f t="shared" si="44"/>
        <v>0</v>
      </c>
      <c r="DY23" s="356">
        <f t="shared" si="48"/>
        <v>0</v>
      </c>
      <c r="DZ23" s="356">
        <f t="shared" si="52"/>
        <v>0</v>
      </c>
      <c r="EA23" s="356">
        <f t="shared" si="56"/>
        <v>0</v>
      </c>
      <c r="EB23" s="356">
        <f t="shared" si="60"/>
        <v>0</v>
      </c>
      <c r="EC23" s="356">
        <f t="shared" si="64"/>
        <v>0</v>
      </c>
      <c r="ED23" s="356">
        <f t="shared" si="68"/>
        <v>0</v>
      </c>
      <c r="EE23" s="356">
        <f t="shared" ref="EE23:EE31" si="72">IF($C23=0,0,IF(EE22+$F23*(DE23-DE22)*Remplissage_du_brin_descendant/100+$H23&gt;=Durée_maximale_d_évacuation,Durée_maximale_d_évacuation,IF(EE22+$F23*(DE23-DE22)*Remplissage_du_brin_descendant/100+$G23+$F24*(DE24-DE23)*Remplissage_du_brin_descendant/100+$H24&gt;=Durée_maximale_d_évacuation,EE22+$F23*(DE23-DE22)*Remplissage_du_brin_descendant/100+$H23,EE22+$F23*(DE23-DE22)*Remplissage_du_brin_descendant/100+$G23)))</f>
        <v>0</v>
      </c>
      <c r="EF23" s="356">
        <f>IF($C23=0,0,IF($E23+$F23*DF23*Remplissage_du_brin_descendant/100+$G23+($F24-$F23)*DF24*Remplissage_du_brin_descendant/100+$H24&gt;=Durée_maximale_d_évacuation,$E23+$F23*DF23*Remplissage_du_brin_descendant/100+$H23,$E23+$F23*DF23*Remplissage_du_brin_descendant/100+$G23))</f>
        <v>0</v>
      </c>
      <c r="EG23" s="357"/>
      <c r="EH23" s="357"/>
      <c r="EI23" s="357"/>
      <c r="EJ23" s="357"/>
      <c r="EK23" s="357"/>
      <c r="EL23" s="357"/>
      <c r="EM23" s="357"/>
      <c r="EN23" s="357"/>
      <c r="EO23" s="224">
        <f t="shared" si="6"/>
        <v>0</v>
      </c>
      <c r="EP23" s="224">
        <f t="shared" si="13"/>
        <v>0</v>
      </c>
      <c r="EQ23" s="224">
        <f t="shared" si="17"/>
        <v>0</v>
      </c>
      <c r="ER23" s="224">
        <f t="shared" si="21"/>
        <v>0</v>
      </c>
      <c r="ES23" s="224">
        <f t="shared" si="25"/>
        <v>0</v>
      </c>
      <c r="ET23" s="224">
        <f t="shared" si="29"/>
        <v>0</v>
      </c>
      <c r="EU23" s="224">
        <f t="shared" si="33"/>
        <v>0</v>
      </c>
      <c r="EV23" s="224">
        <f t="shared" si="37"/>
        <v>0</v>
      </c>
      <c r="EW23" s="224">
        <f t="shared" si="41"/>
        <v>0</v>
      </c>
      <c r="EX23" s="224">
        <f t="shared" si="45"/>
        <v>0</v>
      </c>
      <c r="EY23" s="224">
        <f t="shared" si="49"/>
        <v>0</v>
      </c>
      <c r="EZ23" s="224">
        <f t="shared" si="53"/>
        <v>0</v>
      </c>
      <c r="FA23" s="224">
        <f t="shared" si="57"/>
        <v>0</v>
      </c>
      <c r="FB23" s="224">
        <f t="shared" si="61"/>
        <v>0</v>
      </c>
      <c r="FC23" s="224">
        <f t="shared" si="65"/>
        <v>0</v>
      </c>
      <c r="FD23" s="224">
        <f t="shared" si="69"/>
        <v>0</v>
      </c>
      <c r="FE23" s="224">
        <f t="shared" ref="FE23:FE31" si="73">IF(OR(FD23=1,FE22=0),0,IF(DE23=0,0,IF(DE23&lt;NMaxSiègeEquipe*(1+(100-Remplissage_du_brin_descendant)*0.005)+1,IF(EE23&lt;Durée_maximale_d_évacuation,1,0),0)))</f>
        <v>0</v>
      </c>
      <c r="FF23" s="224">
        <f>IF(SUM(EO23:FE23)&gt;0,0,IF(DF23=0,0,IF(DF23&lt;NMaxSiègeEquipe*(1+(100-Remplissage_du_brin_descendant)*0.005)+1,IF(EF23&lt;Durée_maximale_d_évacuation,1,0),0)))</f>
        <v>0</v>
      </c>
      <c r="FG23" s="225"/>
      <c r="FH23" s="225"/>
      <c r="FI23" s="225"/>
      <c r="FJ23" s="225"/>
      <c r="FK23" s="225"/>
      <c r="FL23" s="225"/>
      <c r="FM23" s="225"/>
      <c r="FN23" s="225"/>
      <c r="FO23" s="332">
        <f t="shared" si="7"/>
        <v>0</v>
      </c>
      <c r="FP23" s="236">
        <f t="shared" si="8"/>
        <v>0</v>
      </c>
      <c r="FQ23" s="238">
        <f t="shared" si="9"/>
        <v>0</v>
      </c>
      <c r="FR23" s="224">
        <f>IF(Remplissage_du_brin_descendant=0,0,IF(17&gt;NBPylône,"",IF(SUM(EO23:FE23)=1,FR22,FR22+1)))</f>
        <v>0</v>
      </c>
    </row>
    <row r="24" spans="1:174" x14ac:dyDescent="0.2">
      <c r="A24" s="62" t="str">
        <f>'     2-DL     '!C26</f>
        <v/>
      </c>
      <c r="B24" s="65" t="str">
        <f>'     2-DL     '!D26</f>
        <v/>
      </c>
      <c r="C24" s="63">
        <f>IF(B24="",0,'     2-DL     '!E26)</f>
        <v>0</v>
      </c>
      <c r="D24" s="66"/>
      <c r="E24" s="4">
        <f>IF(C24=0,0,'     2-DL     '!F26)</f>
        <v>0</v>
      </c>
      <c r="F24" s="4">
        <f>IF(C24=0,0,IF(S_TempsEvacuationVehicule=1,A_TempsEvacuationVéhicule,'     2-DL     '!H26))</f>
        <v>0</v>
      </c>
      <c r="G24" s="4">
        <f>IF(C24=0,0,IF(S_TempsAccèsPortéeSuivante=1,A_TempsAccèsPortéeSuivante,'     2-DL     '!J26))</f>
        <v>0</v>
      </c>
      <c r="H24" s="4">
        <f>IF(C24=0,0,'     2-DL     '!L26)</f>
        <v>0</v>
      </c>
      <c r="I24" s="66"/>
      <c r="J24" s="236">
        <f>IF($C24=0,0,IF(ROUNDDOWN(SUM($C$6:C24)/Espacement_Véhicules+1,0)&gt;NMaxSiègeEquipe*(1+(100-Remplissage_du_brin_montant)*0.005),NMaxSiègeEquipe*(1+(100-Remplissage_du_brin_montant)*0.005) +1,ROUNDDOWN(SUM($C$6:C24)/Espacement_Véhicules+1,0)))</f>
        <v>0</v>
      </c>
      <c r="K24" s="236">
        <f>IF($C24=0,0,IF(ROUNDDOWN(SUM($C$7:C24)/Espacement_Véhicules+1,0)&gt;NMaxSiègeEquipe*(1+(100-Remplissage_du_brin_montant)*0.005),NMaxSiègeEquipe*(1+(100-Remplissage_du_brin_montant)*0.005) +1,ROUNDDOWN(SUM($C$7:C24)/Espacement_Véhicules+1,0)))</f>
        <v>0</v>
      </c>
      <c r="L24" s="236">
        <f>IF($C24=0,0,IF(ROUNDDOWN(SUM($C$8:C24)/Espacement_Véhicules+1,0)&gt;NMaxSiègeEquipe*(1+(100-Remplissage_du_brin_montant)*0.005),NMaxSiègeEquipe*(1+(100-Remplissage_du_brin_montant)*0.005) +1,ROUNDDOWN(SUM($C$8:C24)/Espacement_Véhicules+1,0)))</f>
        <v>0</v>
      </c>
      <c r="M24" s="236">
        <f>IF($C24=0,0,IF(ROUNDDOWN(SUM($C$9:C24)/Espacement_Véhicules+1,0)&gt;NMaxSiègeEquipe*(1+(100-Remplissage_du_brin_montant)*0.005),NMaxSiègeEquipe*(1+(100-Remplissage_du_brin_montant)*0.005) +1,ROUNDDOWN(SUM($C$9:C24)/Espacement_Véhicules+1,0)))</f>
        <v>0</v>
      </c>
      <c r="N24" s="236">
        <f>IF($C24=0,0,IF(ROUNDDOWN(SUM($C10:$C24)/Espacement_Véhicules+1,0)&gt;NMaxSiègeEquipe*(1+(100-Remplissage_du_brin_montant)*0.005),NMaxSiègeEquipe +1,ROUNDDOWN(SUM($C10:$C24)/Espacement_Véhicules+1,0)))</f>
        <v>0</v>
      </c>
      <c r="O24" s="236">
        <f>IF($C24=0,0,IF(ROUNDDOWN(SUM($C23:C24)/Espacement_Véhicules+1,0)&gt;NMaxSiègeEquipe*(1+(100-Remplissage_du_brin_montant)*0.005),NMaxSiègeEquipe*(1+(100-Remplissage_du_brin_montant)*0.005) +1,ROUNDDOWN(SUM($C$11:C24)/Espacement_Véhicules+1,0)))</f>
        <v>0</v>
      </c>
      <c r="P24" s="236">
        <f>IF($C24=0,0,IF(ROUNDDOWN(SUM($C$12:C24)/Espacement_Véhicules+1,0)&gt;NMaxSiègeEquipe*(1+(100-Remplissage_du_brin_montant)*0.005),NMaxSiègeEquipe*(1+(100-Remplissage_du_brin_montant)*0.005) +1,ROUNDDOWN(SUM($C$12:C24)/Espacement_Véhicules+1,0)))</f>
        <v>0</v>
      </c>
      <c r="Q24" s="236">
        <f>IF($C24=0,0,IF(ROUNDDOWN(SUM($C$13:C24)/Espacement_Véhicules+1,0)&gt;NMaxSiègeEquipe*(1+(100-Remplissage_du_brin_montant)*0.005),NMaxSiègeEquipe*(1+(100-Remplissage_du_brin_montant)*0.005) +1,ROUNDDOWN(SUM($C$13:C24)/Espacement_Véhicules+1,0)))</f>
        <v>0</v>
      </c>
      <c r="R24" s="236">
        <f>IF($C24=0,0,IF(ROUNDDOWN(SUM($C$14:C24)/Espacement_Véhicules+1,0)&gt;NMaxSiègeEquipe*(1+(100-Remplissage_du_brin_montant)*0.005),NMaxSiègeEquipe*(1+(100-Remplissage_du_brin_montant)*0.005) +1,ROUNDDOWN(SUM($C$14:C24)/Espacement_Véhicules+1,0)))</f>
        <v>0</v>
      </c>
      <c r="S24" s="236">
        <f>IF($C24=0,0,IF(ROUNDDOWN(SUM($C$15:C24)/Espacement_Véhicules+1,0)&gt;NMaxSiègeEquipe*(1+(100-Remplissage_du_brin_montant)*0.005),NMaxSiègeEquipe*(1+(100-Remplissage_du_brin_montant)*0.005) +1,ROUNDDOWN(SUM($C$15:C24)/Espacement_Véhicules+1,0)))</f>
        <v>0</v>
      </c>
      <c r="T24" s="236">
        <f>IF($C24=0,0,IF(ROUNDDOWN(SUM($C$16:C24)/Espacement_Véhicules+1,0)&gt;NMaxSiègeEquipe*(1+(100-Remplissage_du_brin_montant)*0.005),NMaxSiègeEquipe*(1+(100-Remplissage_du_brin_montant)*0.005) +1,ROUNDDOWN(SUM($C$16:C24)/Espacement_Véhicules+1,0)))</f>
        <v>0</v>
      </c>
      <c r="U24" s="236">
        <f>IF($C24=0,0,IF(ROUNDDOWN(SUM($C$17:C24)/Espacement_Véhicules+1,0)&gt;NMaxSiègeEquipe*(1+(100-Remplissage_du_brin_montant)*0.005),NMaxSiègeEquipe*(1+(100-Remplissage_du_brin_montant)*0.005) +1,ROUNDDOWN(SUM($C$17:C24)/Espacement_Véhicules+1,0)))</f>
        <v>0</v>
      </c>
      <c r="V24" s="236">
        <f>IF($C24=0,0,IF(ROUNDDOWN(SUM($C$18:C24)/Espacement_Véhicules+1,0)&gt;NMaxSiègeEquipe*(1+(100-Remplissage_du_brin_montant)*0.005),NMaxSiègeEquipe*(1+(100-Remplissage_du_brin_montant)*0.005) +1,ROUNDDOWN(SUM($C$18:C24)/Espacement_Véhicules+1,0)))</f>
        <v>0</v>
      </c>
      <c r="W24" s="236">
        <f>IF($C24=0,0,IF(ROUNDDOWN(SUM($C$19:C24)/Espacement_Véhicules+1,0)&gt;NMaxSiègeEquipe*(1+(100-Remplissage_du_brin_montant)*0.005),NMaxSiègeEquipe*(1+(100-Remplissage_du_brin_montant)*0.005) +1,ROUNDDOWN(SUM($C$19:C24)/Espacement_Véhicules+1,0)))</f>
        <v>0</v>
      </c>
      <c r="X24" s="236">
        <f>IF($C24=0,0,IF(ROUNDDOWN(SUM($C$20:C24)/Espacement_Véhicules+1,0)&gt;NMaxSiègeEquipe*(1+(100-Remplissage_du_brin_montant)*0.005),NMaxSiègeEquipe*(1+(100-Remplissage_du_brin_montant)*0.005) +1,ROUNDDOWN(SUM($C$20:C24)/Espacement_Véhicules+1,0)))</f>
        <v>0</v>
      </c>
      <c r="Y24" s="236">
        <f>IF($C24=0,0,IF(ROUNDDOWN(SUM($C$21:C24)/Espacement_Véhicules+1,0)&gt;NMaxSiègeEquipe*(1+(100-Remplissage_du_brin_montant)*0.005),NMaxSiègeEquipe*(1+(100-Remplissage_du_brin_montant)*0.005) +1,ROUNDDOWN(SUM($C$21:C24)/Espacement_Véhicules+1,0)))</f>
        <v>0</v>
      </c>
      <c r="Z24" s="236">
        <f>IF($C24=0,0,IF(ROUNDDOWN(SUM($C$22:C24)/Espacement_Véhicules+1,0)&gt;NMaxSiègeEquipe*(1+(100-Remplissage_du_brin_montant)*0.005),NMaxSiègeEquipe*(1+(100-Remplissage_du_brin_montant)*0.005) +1,ROUNDDOWN(SUM($C$22:C24)/Espacement_Véhicules+1,0)))</f>
        <v>0</v>
      </c>
      <c r="AA24" s="236">
        <f>IF($C24=0,0,IF(ROUNDDOWN(SUM($C$23:C24)/Espacement_Véhicules+1,0)&gt;NMaxSiègeEquipe*(1+(100-Remplissage_du_brin_montant)*0.005),NMaxSiègeEquipe*(1+(100-Remplissage_du_brin_montant)*0.005) +1,ROUNDDOWN(SUM($C$23:C24)/Espacement_Véhicules+1,0)))</f>
        <v>0</v>
      </c>
      <c r="AB24" s="236">
        <f>IF($C24=0,0,ROUNDDOWN($C24/Espacement_Véhicules+1,0))</f>
        <v>0</v>
      </c>
      <c r="AC24" s="350"/>
      <c r="AD24" s="350"/>
      <c r="AE24" s="350"/>
      <c r="AF24" s="350"/>
      <c r="AG24" s="350"/>
      <c r="AH24" s="350"/>
      <c r="AI24" s="350"/>
      <c r="AJ24" s="356">
        <f t="shared" si="0"/>
        <v>0</v>
      </c>
      <c r="AK24" s="356">
        <f t="shared" si="10"/>
        <v>0</v>
      </c>
      <c r="AL24" s="356">
        <f t="shared" si="14"/>
        <v>0</v>
      </c>
      <c r="AM24" s="356">
        <f t="shared" si="18"/>
        <v>0</v>
      </c>
      <c r="AN24" s="356">
        <f t="shared" si="22"/>
        <v>0</v>
      </c>
      <c r="AO24" s="356">
        <f t="shared" si="26"/>
        <v>0</v>
      </c>
      <c r="AP24" s="356">
        <f t="shared" si="30"/>
        <v>0</v>
      </c>
      <c r="AQ24" s="356">
        <f t="shared" si="34"/>
        <v>0</v>
      </c>
      <c r="AR24" s="356">
        <f t="shared" si="38"/>
        <v>0</v>
      </c>
      <c r="AS24" s="356">
        <f t="shared" si="42"/>
        <v>0</v>
      </c>
      <c r="AT24" s="356">
        <f t="shared" si="46"/>
        <v>0</v>
      </c>
      <c r="AU24" s="356">
        <f t="shared" si="50"/>
        <v>0</v>
      </c>
      <c r="AV24" s="356">
        <f t="shared" si="54"/>
        <v>0</v>
      </c>
      <c r="AW24" s="356">
        <f t="shared" si="58"/>
        <v>0</v>
      </c>
      <c r="AX24" s="356">
        <f t="shared" si="62"/>
        <v>0</v>
      </c>
      <c r="AY24" s="356">
        <f t="shared" si="66"/>
        <v>0</v>
      </c>
      <c r="AZ24" s="356">
        <f t="shared" si="70"/>
        <v>0</v>
      </c>
      <c r="BA24" s="356">
        <f t="shared" ref="BA24:BA31" si="74">IF($C24=0,0,IF(BA23+$F24*(AA24-AA23)*Remplissage_du_brin_montant/100+$H24&gt;=Durée_maximale_d_évacuation,Durée_maximale_d_évacuation,IF(BA23+$F24*(AA24-AA23)*Remplissage_du_brin_montant/100+$G24+$F25*(AA25-AA24)*Remplissage_du_brin_montant/100+$H25&gt;=Durée_maximale_d_évacuation,BA23+$F24*(AA24-AA23)*Remplissage_du_brin_montant/100+$H24,BA23+$F24*(AA24-AA23)*Remplissage_du_brin_montant/100+$G24)))</f>
        <v>0</v>
      </c>
      <c r="BB24" s="356">
        <f>IF($C24=0,0,IF($E24+$F24*AB24*Remplissage_du_brin_montant/100+$G24+($F25-$F24)*AB25*Remplissage_du_brin_montant/100+$H25&gt;=Durée_maximale_d_évacuation,$E24+$F24*AB24*Remplissage_du_brin_montant/100+$H24,$E24+$F24*AB24*Remplissage_du_brin_montant/100+$G24))</f>
        <v>0</v>
      </c>
      <c r="BC24" s="357"/>
      <c r="BD24" s="357"/>
      <c r="BE24" s="357"/>
      <c r="BF24" s="357"/>
      <c r="BG24" s="357"/>
      <c r="BH24" s="357"/>
      <c r="BI24" s="357"/>
      <c r="BJ24" s="224">
        <f t="shared" si="1"/>
        <v>0</v>
      </c>
      <c r="BK24" s="224">
        <f t="shared" si="11"/>
        <v>0</v>
      </c>
      <c r="BL24" s="224">
        <f t="shared" si="15"/>
        <v>0</v>
      </c>
      <c r="BM24" s="224">
        <f t="shared" si="19"/>
        <v>0</v>
      </c>
      <c r="BN24" s="224">
        <f t="shared" si="23"/>
        <v>0</v>
      </c>
      <c r="BO24" s="224">
        <f t="shared" si="27"/>
        <v>0</v>
      </c>
      <c r="BP24" s="224">
        <f t="shared" si="31"/>
        <v>0</v>
      </c>
      <c r="BQ24" s="224">
        <f t="shared" si="35"/>
        <v>0</v>
      </c>
      <c r="BR24" s="224">
        <f t="shared" si="39"/>
        <v>0</v>
      </c>
      <c r="BS24" s="224">
        <f t="shared" si="43"/>
        <v>0</v>
      </c>
      <c r="BT24" s="224">
        <f t="shared" si="47"/>
        <v>0</v>
      </c>
      <c r="BU24" s="224">
        <f t="shared" si="51"/>
        <v>0</v>
      </c>
      <c r="BV24" s="224">
        <f t="shared" si="55"/>
        <v>0</v>
      </c>
      <c r="BW24" s="224">
        <f t="shared" si="59"/>
        <v>0</v>
      </c>
      <c r="BX24" s="224">
        <f t="shared" si="63"/>
        <v>0</v>
      </c>
      <c r="BY24" s="224">
        <f t="shared" si="67"/>
        <v>0</v>
      </c>
      <c r="BZ24" s="224">
        <f t="shared" si="71"/>
        <v>0</v>
      </c>
      <c r="CA24" s="224">
        <f t="shared" ref="CA24:CA31" si="75">IF(OR(BZ24=1,CA23=0),0,IF(AA24=0,0,IF(AA24&lt;NMaxSiègeEquipe*(1+(100-Remplissage_du_brin_montant)*0.005)+1,IF(BA24&lt;Durée_maximale_d_évacuation,1,0),0)))</f>
        <v>0</v>
      </c>
      <c r="CB24" s="224">
        <f>IF(SUM(BJ24:CA24)&gt;0,0,IF(AB24=0,0,IF(AB24&lt;NMaxSiègeEquipe*(1+(100-Remplissage_du_brin_montant)*0.005)+1,IF(BB24&lt;Durée_maximale_d_évacuation,1,0),0)))</f>
        <v>0</v>
      </c>
      <c r="CC24" s="225"/>
      <c r="CD24" s="225"/>
      <c r="CE24" s="225"/>
      <c r="CF24" s="225"/>
      <c r="CG24" s="225"/>
      <c r="CH24" s="225"/>
      <c r="CI24" s="225"/>
      <c r="CJ24" s="332">
        <f t="shared" si="2"/>
        <v>0</v>
      </c>
      <c r="CK24" s="236">
        <f t="shared" si="3"/>
        <v>0</v>
      </c>
      <c r="CL24" s="238">
        <f t="shared" si="4"/>
        <v>0</v>
      </c>
      <c r="CM24" s="224">
        <f>IF(Remplissage_du_brin_montant=0,0,IF(18&gt;NBPylône,"",IF(SUM(BJ24:CA24)=1,CM23,CM23+1)))</f>
        <v>0</v>
      </c>
      <c r="CN24" s="17"/>
      <c r="CO24" s="236">
        <f>IF(C24=0,0,IF(ROUNDDOWN(SUM($C$6:C24)/Espacement_Véhicules+1,0)&gt;NMaxSiègeEquipe*(1+(100-Remplissage_du_brin_descendant)*0.005),NMaxSiègeEquipe*(1+(100-Remplissage_du_brin_descendant)*0.005) +1,ROUNDDOWN(SUM($C$6:C24)/Espacement_Véhicules+1,0)))</f>
        <v>0</v>
      </c>
      <c r="CP24" s="236">
        <f>IF($C24=0,0,IF(ROUNDDOWN(SUM($C$7:C24)/Espacement_Véhicules+1,0)&gt;NMaxSiègeEquipe*(1+(100-Remplissage_du_brin_descendant)*0.005),NMaxSiègeEquipe*(1+(100-Remplissage_du_brin_descendant)*0.005) +1,ROUNDDOWN(SUM($C$7:C24)/Espacement_Véhicules+1,0)))</f>
        <v>0</v>
      </c>
      <c r="CQ24" s="236">
        <f>IF($C24=0,0,IF(ROUNDDOWN(SUM($C$8:C24)/Espacement_Véhicules+1,0)&gt;NMaxSiègeEquipe*(1+(100-Remplissage_du_brin_descendant)*0.005),NMaxSiègeEquipe*(1+(100-Remplissage_du_brin_descendant)*0.005) +1,ROUNDDOWN(SUM($C$8:C24)/Espacement_Véhicules+1,0)))</f>
        <v>0</v>
      </c>
      <c r="CR24" s="236">
        <f>IF($C24=0,0,IF(ROUNDDOWN(SUM($C$9:C24)/Espacement_Véhicules+1,0)&gt;NMaxSiègeEquipe*(1+(100-Remplissage_du_brin_descendant)*0.005),NMaxSiègeEquipe*(1+(100-Remplissage_du_brin_descendant)*0.005) +1,ROUNDDOWN(SUM($C$9:C24)/Espacement_Véhicules+1,0)))</f>
        <v>0</v>
      </c>
      <c r="CS24" s="236">
        <f>IF($C24=0,0,IF(ROUNDDOWN(SUM($C$10:C24)/Espacement_Véhicules+1,0)&gt;NMaxSiègeEquipe*(1+(100-Remplissage_du_brin_descendant)*0.005),NMaxSiègeEquipe*(1+(100-Remplissage_du_brin_descendant)*0.005) +1,ROUNDDOWN(SUM($C$10:C24)/Espacement_Véhicules+1,0)))</f>
        <v>0</v>
      </c>
      <c r="CT24" s="236">
        <f>IF($C24=0,0,IF(ROUNDDOWN(SUM($C$11:C24)/Espacement_Véhicules+1,0)&gt;NMaxSiègeEquipe*(1+(100-Remplissage_du_brin_descendant)*0.005),NMaxSiègeEquipe*(1+(100-Remplissage_du_brin_descendant)*0.005) +1,ROUNDDOWN(SUM($C$11:C24)/Espacement_Véhicules+1,0)))</f>
        <v>0</v>
      </c>
      <c r="CU24" s="236">
        <f>IF($C24=0,0,IF(ROUNDDOWN(SUM($C$12:C24)/Espacement_Véhicules+1,0)&gt;NMaxSiègeEquipe*(1+(100-Remplissage_du_brin_descendant)*0.005),NMaxSiègeEquipe*(1+(100-Remplissage_du_brin_descendant)*0.005) +1,ROUNDDOWN(SUM($C$12:C24)/Espacement_Véhicules+1,0)))</f>
        <v>0</v>
      </c>
      <c r="CV24" s="236">
        <f>IF($C24=0,0,IF(ROUNDDOWN(SUM($C$13:C24)/Espacement_Véhicules+1,0)&gt;NMaxSiègeEquipe*(1+(100-Remplissage_du_brin_descendant)*0.005),NMaxSiègeEquipe*(1+(100-Remplissage_du_brin_descendant)*0.005) +1,ROUNDDOWN(SUM($C$13:C24)/Espacement_Véhicules+1,0)))</f>
        <v>0</v>
      </c>
      <c r="CW24" s="236">
        <f>IF($C24=0,0,IF(ROUNDDOWN(SUM($C$14:C24)/Espacement_Véhicules+1,0)&gt;NMaxSiègeEquipe*(1+(100-Remplissage_du_brin_descendant)*0.005),NMaxSiègeEquipe*(1+(100-Remplissage_du_brin_descendant)*0.005) +1,ROUNDDOWN(SUM($C$14:C24)/Espacement_Véhicules+1,0)))</f>
        <v>0</v>
      </c>
      <c r="CX24" s="236">
        <f>IF($C24=0,0,IF(ROUNDDOWN(SUM($C$15:C24)/Espacement_Véhicules+1,0)&gt;NMaxSiègeEquipe*(1+(100-Remplissage_du_brin_descendant)*0.005),NMaxSiègeEquipe*(1+(100-Remplissage_du_brin_descendant)*0.005) +1,ROUNDDOWN(SUM($C$15:C24)/Espacement_Véhicules+1,0)))</f>
        <v>0</v>
      </c>
      <c r="CY24" s="236">
        <f>IF($C24=0,0,IF(ROUNDDOWN(SUM($C$16:C24)/Espacement_Véhicules+1,0)&gt;NMaxSiègeEquipe*(1+(100-Remplissage_du_brin_descendant)*0.005),NMaxSiègeEquipe*(1+(100-Remplissage_du_brin_descendant)*0.005) +1,ROUNDDOWN(SUM($C$16:C24)/Espacement_Véhicules+1,0)))</f>
        <v>0</v>
      </c>
      <c r="CZ24" s="236">
        <f>IF($C24=0,0,IF(ROUNDDOWN(SUM($C$17:C24)/Espacement_Véhicules+1,0)&gt;NMaxSiègeEquipe*(1+(100-Remplissage_du_brin_descendant)*0.005),NMaxSiègeEquipe*(1+(100-Remplissage_du_brin_descendant)*0.005) +1,ROUNDDOWN(SUM($C$17:C24)/Espacement_Véhicules+1,0)))</f>
        <v>0</v>
      </c>
      <c r="DA24" s="236">
        <f>IF($C24=0,0,IF(ROUNDDOWN(SUM($C$18:C24)/Espacement_Véhicules+1,0)&gt;NMaxSiègeEquipe*(1+(100-Remplissage_du_brin_descendant)*0.005),NMaxSiègeEquipe*(1+(100-Remplissage_du_brin_descendant)*0.005) +1,ROUNDDOWN(SUM($C$18:C24)/Espacement_Véhicules+1,0)))</f>
        <v>0</v>
      </c>
      <c r="DB24" s="236">
        <f>IF($C24=0,0,IF(ROUNDDOWN(SUM($C$19:C24)/Espacement_Véhicules+1,0)&gt;NMaxSiègeEquipe*(1+(100-Remplissage_du_brin_descendant)*0.005),NMaxSiègeEquipe*(1+(100-Remplissage_du_brin_descendant)*0.005) +1,ROUNDDOWN(SUM($C$19:C24)/Espacement_Véhicules+1,0)))</f>
        <v>0</v>
      </c>
      <c r="DC24" s="236">
        <f>IF($C24=0,0,IF(ROUNDDOWN(SUM($C$20:C24)/Espacement_Véhicules+1,0)&gt;NMaxSiègeEquipe*(1+(100-Remplissage_du_brin_descendant)*0.005),NMaxSiègeEquipe*(1+(100-Remplissage_du_brin_descendant)*0.005) +1,ROUNDDOWN(SUM($C$20:C24)/Espacement_Véhicules+1,0)))</f>
        <v>0</v>
      </c>
      <c r="DD24" s="236">
        <f>IF($C24=0,0,IF(ROUNDDOWN(SUM($C$21:C24)/Espacement_Véhicules+1,0)&gt;NMaxSiègeEquipe*(1+(100-Remplissage_du_brin_descendant)*0.005),NMaxSiègeEquipe*(1+(100-Remplissage_du_brin_descendant)*0.005) +1,ROUNDDOWN(SUM($C$21:C24)/Espacement_Véhicules+1,0)))</f>
        <v>0</v>
      </c>
      <c r="DE24" s="236">
        <f>IF($C24=0,0,IF(ROUNDDOWN(SUM($C$22:C24)/Espacement_Véhicules+1,0)&gt;NMaxSiègeEquipe*(1+(100-Remplissage_du_brin_descendant)*0.005),NMaxSiègeEquipe*(1+(100-Remplissage_du_brin_descendant)*0.005) +1,ROUNDDOWN(SUM($C$22:C24)/Espacement_Véhicules+1,0)))</f>
        <v>0</v>
      </c>
      <c r="DF24" s="236">
        <f>IF($C24=0,0,IF(ROUNDDOWN(SUM($C$23:C24)/Espacement_Véhicules+1,0)&gt;NMaxSiègeEquipe*(1+(100-Remplissage_du_brin_descendant)*0.005),NMaxSiègeEquipe*(1+(100-Remplissage_du_brin_descendant)*0.005) +1,ROUNDDOWN(SUM($C$23:C24)/Espacement_Véhicules+1,0)))</f>
        <v>0</v>
      </c>
      <c r="DG24" s="236">
        <f>IF($C24=0,0,ROUNDDOWN($C24/Espacement_Véhicules+1,0))</f>
        <v>0</v>
      </c>
      <c r="DH24" s="350"/>
      <c r="DI24" s="350"/>
      <c r="DJ24" s="350"/>
      <c r="DK24" s="350"/>
      <c r="DL24" s="350"/>
      <c r="DM24" s="350"/>
      <c r="DN24" s="350"/>
      <c r="DO24" s="356">
        <f t="shared" si="5"/>
        <v>0</v>
      </c>
      <c r="DP24" s="356">
        <f t="shared" si="12"/>
        <v>0</v>
      </c>
      <c r="DQ24" s="356">
        <f t="shared" si="16"/>
        <v>0</v>
      </c>
      <c r="DR24" s="356">
        <f t="shared" si="20"/>
        <v>0</v>
      </c>
      <c r="DS24" s="356">
        <f t="shared" si="24"/>
        <v>0</v>
      </c>
      <c r="DT24" s="356">
        <f t="shared" si="28"/>
        <v>0</v>
      </c>
      <c r="DU24" s="356">
        <f t="shared" si="32"/>
        <v>0</v>
      </c>
      <c r="DV24" s="356">
        <f t="shared" si="36"/>
        <v>0</v>
      </c>
      <c r="DW24" s="356">
        <f t="shared" si="40"/>
        <v>0</v>
      </c>
      <c r="DX24" s="356">
        <f t="shared" si="44"/>
        <v>0</v>
      </c>
      <c r="DY24" s="356">
        <f t="shared" si="48"/>
        <v>0</v>
      </c>
      <c r="DZ24" s="356">
        <f t="shared" si="52"/>
        <v>0</v>
      </c>
      <c r="EA24" s="356">
        <f t="shared" si="56"/>
        <v>0</v>
      </c>
      <c r="EB24" s="356">
        <f t="shared" si="60"/>
        <v>0</v>
      </c>
      <c r="EC24" s="356">
        <f t="shared" si="64"/>
        <v>0</v>
      </c>
      <c r="ED24" s="356">
        <f t="shared" si="68"/>
        <v>0</v>
      </c>
      <c r="EE24" s="356">
        <f t="shared" si="72"/>
        <v>0</v>
      </c>
      <c r="EF24" s="356">
        <f t="shared" ref="EF24:EF31" si="76">IF($C24=0,0,IF(EF23+$F24*(DF24-DF23)*Remplissage_du_brin_descendant/100+$H24&gt;=Durée_maximale_d_évacuation,Durée_maximale_d_évacuation,IF(EF23+$F24*(DF24-DF23)*Remplissage_du_brin_descendant/100+$G24+$F25*(DF25-DF24)*Remplissage_du_brin_descendant/100+$H25&gt;=Durée_maximale_d_évacuation,EF23+$F24*(DF24-DF23)*Remplissage_du_brin_descendant/100+$H24,EF23+$F24*(DF24-DF23)*Remplissage_du_brin_descendant/100+$G24)))</f>
        <v>0</v>
      </c>
      <c r="EG24" s="356">
        <f>IF($C24=0,0,IF($E24+$F24*DG24*Remplissage_du_brin_descendant/100+$G24+($F25-$F24)*DG25*Remplissage_du_brin_descendant/100+$H25&gt;=Durée_maximale_d_évacuation,$E24+$F24*DG24*Remplissage_du_brin_descendant/100+$H24,$E24+$F24*DG24*Remplissage_du_brin_descendant/100+$G24))</f>
        <v>0</v>
      </c>
      <c r="EH24" s="357"/>
      <c r="EI24" s="357"/>
      <c r="EJ24" s="357"/>
      <c r="EK24" s="357"/>
      <c r="EL24" s="357"/>
      <c r="EM24" s="357"/>
      <c r="EN24" s="357"/>
      <c r="EO24" s="224">
        <f t="shared" si="6"/>
        <v>0</v>
      </c>
      <c r="EP24" s="224">
        <f t="shared" si="13"/>
        <v>0</v>
      </c>
      <c r="EQ24" s="224">
        <f t="shared" si="17"/>
        <v>0</v>
      </c>
      <c r="ER24" s="224">
        <f t="shared" si="21"/>
        <v>0</v>
      </c>
      <c r="ES24" s="224">
        <f t="shared" si="25"/>
        <v>0</v>
      </c>
      <c r="ET24" s="224">
        <f t="shared" si="29"/>
        <v>0</v>
      </c>
      <c r="EU24" s="224">
        <f t="shared" si="33"/>
        <v>0</v>
      </c>
      <c r="EV24" s="224">
        <f t="shared" si="37"/>
        <v>0</v>
      </c>
      <c r="EW24" s="224">
        <f t="shared" si="41"/>
        <v>0</v>
      </c>
      <c r="EX24" s="224">
        <f t="shared" si="45"/>
        <v>0</v>
      </c>
      <c r="EY24" s="224">
        <f t="shared" si="49"/>
        <v>0</v>
      </c>
      <c r="EZ24" s="224">
        <f t="shared" si="53"/>
        <v>0</v>
      </c>
      <c r="FA24" s="224">
        <f t="shared" si="57"/>
        <v>0</v>
      </c>
      <c r="FB24" s="224">
        <f t="shared" si="61"/>
        <v>0</v>
      </c>
      <c r="FC24" s="224">
        <f t="shared" si="65"/>
        <v>0</v>
      </c>
      <c r="FD24" s="224">
        <f t="shared" si="69"/>
        <v>0</v>
      </c>
      <c r="FE24" s="224">
        <f t="shared" si="73"/>
        <v>0</v>
      </c>
      <c r="FF24" s="224">
        <f t="shared" ref="FF24:FF31" si="77">IF(OR(FE24=1,FF23=0),0,IF(DF24=0,0,IF(DF24&lt;NMaxSiègeEquipe*(1+(100-Remplissage_du_brin_descendant)*0.005)+1,IF(EF24&lt;Durée_maximale_d_évacuation,1,0),0)))</f>
        <v>0</v>
      </c>
      <c r="FG24" s="224">
        <f>IF(SUM(EO24:FF24)&gt;0,0,IF(DG24=0,0,IF(DG24&lt;NMaxSiègeEquipe*(1+(100-Remplissage_du_brin_descendant)*0.005)+1,IF(EG24&lt;Durée_maximale_d_évacuation,1,0),0)))</f>
        <v>0</v>
      </c>
      <c r="FH24" s="225"/>
      <c r="FI24" s="225"/>
      <c r="FJ24" s="225"/>
      <c r="FK24" s="225"/>
      <c r="FL24" s="225"/>
      <c r="FM24" s="225"/>
      <c r="FN24" s="225"/>
      <c r="FO24" s="332">
        <f t="shared" si="7"/>
        <v>0</v>
      </c>
      <c r="FP24" s="236">
        <f t="shared" si="8"/>
        <v>0</v>
      </c>
      <c r="FQ24" s="238">
        <f t="shared" si="9"/>
        <v>0</v>
      </c>
      <c r="FR24" s="224">
        <f>IF(Remplissage_du_brin_descendant=0,0,IF(18&gt;NBPylône,"",IF(SUM(EO24:FF24)=1,FR23,FR23+1)))</f>
        <v>0</v>
      </c>
    </row>
    <row r="25" spans="1:174" x14ac:dyDescent="0.2">
      <c r="A25" s="62" t="str">
        <f>'     2-DL     '!C27</f>
        <v/>
      </c>
      <c r="B25" s="65" t="str">
        <f>'     2-DL     '!D27</f>
        <v/>
      </c>
      <c r="C25" s="63">
        <f>IF(B25="",0,'     2-DL     '!E27)</f>
        <v>0</v>
      </c>
      <c r="D25" s="66"/>
      <c r="E25" s="4">
        <f>IF(C25=0,0,'     2-DL     '!F27)</f>
        <v>0</v>
      </c>
      <c r="F25" s="4">
        <f>IF(C25=0,0,IF(S_TempsEvacuationVehicule=1,A_TempsEvacuationVéhicule,'     2-DL     '!H27))</f>
        <v>0</v>
      </c>
      <c r="G25" s="4">
        <f>IF(C25=0,0,IF(S_TempsAccèsPortéeSuivante=1,A_TempsAccèsPortéeSuivante,'     2-DL     '!J27))</f>
        <v>0</v>
      </c>
      <c r="H25" s="4">
        <f>IF(C25=0,0,'     2-DL     '!L27)</f>
        <v>0</v>
      </c>
      <c r="I25" s="66"/>
      <c r="J25" s="236">
        <f>IF($C25=0,0,IF(ROUNDDOWN(SUM($C$6:C25)/Espacement_Véhicules+1,0)&gt;NMaxSiègeEquipe*(1+(100-Remplissage_du_brin_montant)*0.005),NMaxSiègeEquipe*(1+(100-Remplissage_du_brin_montant)*0.005) +1,ROUNDDOWN(SUM($C$6:C25)/Espacement_Véhicules+1,0)))</f>
        <v>0</v>
      </c>
      <c r="K25" s="236">
        <f>IF($C25=0,0,IF(ROUNDDOWN(SUM($C$7:C25)/Espacement_Véhicules+1,0)&gt;NMaxSiègeEquipe*(1+(100-Remplissage_du_brin_montant)*0.005),NMaxSiègeEquipe*(1+(100-Remplissage_du_brin_montant)*0.005) +1,ROUNDDOWN(SUM($C$7:C25)/Espacement_Véhicules+1,0)))</f>
        <v>0</v>
      </c>
      <c r="L25" s="236">
        <f>IF($C25=0,0,IF(ROUNDDOWN(SUM($C$8:C25)/Espacement_Véhicules+1,0)&gt;NMaxSiègeEquipe*(1+(100-Remplissage_du_brin_montant)*0.005),NMaxSiègeEquipe*(1+(100-Remplissage_du_brin_montant)*0.005) +1,ROUNDDOWN(SUM($C$8:C25)/Espacement_Véhicules+1,0)))</f>
        <v>0</v>
      </c>
      <c r="M25" s="236">
        <f>IF($C25=0,0,IF(ROUNDDOWN(SUM($C$9:C25)/Espacement_Véhicules+1,0)&gt;NMaxSiègeEquipe*(1+(100-Remplissage_du_brin_montant)*0.005),NMaxSiègeEquipe*(1+(100-Remplissage_du_brin_montant)*0.005) +1,ROUNDDOWN(SUM($C$9:C25)/Espacement_Véhicules+1,0)))</f>
        <v>0</v>
      </c>
      <c r="N25" s="236">
        <f>IF($C25=0,0,IF(ROUNDDOWN(SUM($C10:$C25)/Espacement_Véhicules+1,0)&gt;NMaxSiègeEquipe*(1+(100-Remplissage_du_brin_montant)*0.005),NMaxSiègeEquipe +1,ROUNDDOWN(SUM($C10:$C25)/Espacement_Véhicules+1,0)))</f>
        <v>0</v>
      </c>
      <c r="O25" s="236">
        <f>IF($C25=0,0,IF(ROUNDDOWN(SUM($C24:C25)/Espacement_Véhicules+1,0)&gt;NMaxSiègeEquipe*(1+(100-Remplissage_du_brin_montant)*0.005),NMaxSiègeEquipe*(1+(100-Remplissage_du_brin_montant)*0.005) +1,ROUNDDOWN(SUM($C$11:C25)/Espacement_Véhicules+1,0)))</f>
        <v>0</v>
      </c>
      <c r="P25" s="236">
        <f>IF($C25=0,0,IF(ROUNDDOWN(SUM($C$12:C25)/Espacement_Véhicules+1,0)&gt;NMaxSiègeEquipe*(1+(100-Remplissage_du_brin_montant)*0.005),NMaxSiègeEquipe*(1+(100-Remplissage_du_brin_montant)*0.005) +1,ROUNDDOWN(SUM($C$12:C25)/Espacement_Véhicules+1,0)))</f>
        <v>0</v>
      </c>
      <c r="Q25" s="236">
        <f>IF($C25=0,0,IF(ROUNDDOWN(SUM($C$13:C25)/Espacement_Véhicules+1,0)&gt;NMaxSiègeEquipe*(1+(100-Remplissage_du_brin_montant)*0.005),NMaxSiègeEquipe*(1+(100-Remplissage_du_brin_montant)*0.005) +1,ROUNDDOWN(SUM($C$13:C25)/Espacement_Véhicules+1,0)))</f>
        <v>0</v>
      </c>
      <c r="R25" s="236">
        <f>IF($C25=0,0,IF(ROUNDDOWN(SUM($C$14:C25)/Espacement_Véhicules+1,0)&gt;NMaxSiègeEquipe*(1+(100-Remplissage_du_brin_montant)*0.005),NMaxSiègeEquipe*(1+(100-Remplissage_du_brin_montant)*0.005) +1,ROUNDDOWN(SUM($C$14:C25)/Espacement_Véhicules+1,0)))</f>
        <v>0</v>
      </c>
      <c r="S25" s="236">
        <f>IF($C25=0,0,IF(ROUNDDOWN(SUM($C$15:C25)/Espacement_Véhicules+1,0)&gt;NMaxSiègeEquipe*(1+(100-Remplissage_du_brin_montant)*0.005),NMaxSiègeEquipe*(1+(100-Remplissage_du_brin_montant)*0.005) +1,ROUNDDOWN(SUM($C$15:C25)/Espacement_Véhicules+1,0)))</f>
        <v>0</v>
      </c>
      <c r="T25" s="236">
        <f>IF($C25=0,0,IF(ROUNDDOWN(SUM($C$16:C25)/Espacement_Véhicules+1,0)&gt;NMaxSiègeEquipe*(1+(100-Remplissage_du_brin_montant)*0.005),NMaxSiègeEquipe*(1+(100-Remplissage_du_brin_montant)*0.005) +1,ROUNDDOWN(SUM($C$16:C25)/Espacement_Véhicules+1,0)))</f>
        <v>0</v>
      </c>
      <c r="U25" s="236">
        <f>IF($C25=0,0,IF(ROUNDDOWN(SUM($C$17:C25)/Espacement_Véhicules+1,0)&gt;NMaxSiègeEquipe*(1+(100-Remplissage_du_brin_montant)*0.005),NMaxSiègeEquipe*(1+(100-Remplissage_du_brin_montant)*0.005) +1,ROUNDDOWN(SUM($C$17:C25)/Espacement_Véhicules+1,0)))</f>
        <v>0</v>
      </c>
      <c r="V25" s="236">
        <f>IF($C25=0,0,IF(ROUNDDOWN(SUM($C$18:C25)/Espacement_Véhicules+1,0)&gt;NMaxSiègeEquipe*(1+(100-Remplissage_du_brin_montant)*0.005),NMaxSiègeEquipe*(1+(100-Remplissage_du_brin_montant)*0.005) +1,ROUNDDOWN(SUM($C$18:C25)/Espacement_Véhicules+1,0)))</f>
        <v>0</v>
      </c>
      <c r="W25" s="236">
        <f>IF($C25=0,0,IF(ROUNDDOWN(SUM($C$19:C25)/Espacement_Véhicules+1,0)&gt;NMaxSiègeEquipe*(1+(100-Remplissage_du_brin_montant)*0.005),NMaxSiègeEquipe*(1+(100-Remplissage_du_brin_montant)*0.005) +1,ROUNDDOWN(SUM($C$19:C25)/Espacement_Véhicules+1,0)))</f>
        <v>0</v>
      </c>
      <c r="X25" s="236">
        <f>IF($C25=0,0,IF(ROUNDDOWN(SUM($C$20:C25)/Espacement_Véhicules+1,0)&gt;NMaxSiègeEquipe*(1+(100-Remplissage_du_brin_montant)*0.005),NMaxSiègeEquipe*(1+(100-Remplissage_du_brin_montant)*0.005) +1,ROUNDDOWN(SUM($C$20:C25)/Espacement_Véhicules+1,0)))</f>
        <v>0</v>
      </c>
      <c r="Y25" s="236">
        <f>IF($C25=0,0,IF(ROUNDDOWN(SUM($C$21:C25)/Espacement_Véhicules+1,0)&gt;NMaxSiègeEquipe*(1+(100-Remplissage_du_brin_montant)*0.005),NMaxSiègeEquipe*(1+(100-Remplissage_du_brin_montant)*0.005) +1,ROUNDDOWN(SUM($C$21:C25)/Espacement_Véhicules+1,0)))</f>
        <v>0</v>
      </c>
      <c r="Z25" s="236">
        <f>IF($C25=0,0,IF(ROUNDDOWN(SUM($C$22:C25)/Espacement_Véhicules+1,0)&gt;NMaxSiègeEquipe*(1+(100-Remplissage_du_brin_montant)*0.005),NMaxSiègeEquipe*(1+(100-Remplissage_du_brin_montant)*0.005) +1,ROUNDDOWN(SUM($C$22:C25)/Espacement_Véhicules+1,0)))</f>
        <v>0</v>
      </c>
      <c r="AA25" s="236">
        <f>IF($C25=0,0,IF(ROUNDDOWN(SUM($C$23:C25)/Espacement_Véhicules+1,0)&gt;NMaxSiègeEquipe*(1+(100-Remplissage_du_brin_montant)*0.005),NMaxSiègeEquipe*(1+(100-Remplissage_du_brin_montant)*0.005) +1,ROUNDDOWN(SUM($C$23:C25)/Espacement_Véhicules+1,0)))</f>
        <v>0</v>
      </c>
      <c r="AB25" s="236">
        <f>IF($C25=0,0,IF(ROUNDDOWN(SUM($C$24:C25)/Espacement_Véhicules+1,0)&gt;NMaxSiègeEquipe*(1+(100-Remplissage_du_brin_montant)*0.005),NMaxSiègeEquipe*(1+(100-Remplissage_du_brin_montant)*0.005)+1,ROUNDDOWN(SUM($C$24:C25)/Espacement_Véhicules+1,0)))</f>
        <v>0</v>
      </c>
      <c r="AC25" s="236">
        <f>IF($C25=0,0,ROUNDDOWN($C25/Espacement_Véhicules+1,0))</f>
        <v>0</v>
      </c>
      <c r="AD25" s="350"/>
      <c r="AE25" s="350"/>
      <c r="AF25" s="350"/>
      <c r="AG25" s="350"/>
      <c r="AH25" s="350"/>
      <c r="AI25" s="350"/>
      <c r="AJ25" s="356">
        <f t="shared" si="0"/>
        <v>0</v>
      </c>
      <c r="AK25" s="356">
        <f t="shared" si="10"/>
        <v>0</v>
      </c>
      <c r="AL25" s="356">
        <f t="shared" si="14"/>
        <v>0</v>
      </c>
      <c r="AM25" s="356">
        <f t="shared" si="18"/>
        <v>0</v>
      </c>
      <c r="AN25" s="356">
        <f t="shared" si="22"/>
        <v>0</v>
      </c>
      <c r="AO25" s="356">
        <f t="shared" si="26"/>
        <v>0</v>
      </c>
      <c r="AP25" s="356">
        <f t="shared" si="30"/>
        <v>0</v>
      </c>
      <c r="AQ25" s="356">
        <f t="shared" si="34"/>
        <v>0</v>
      </c>
      <c r="AR25" s="356">
        <f t="shared" si="38"/>
        <v>0</v>
      </c>
      <c r="AS25" s="356">
        <f t="shared" si="42"/>
        <v>0</v>
      </c>
      <c r="AT25" s="356">
        <f t="shared" si="46"/>
        <v>0</v>
      </c>
      <c r="AU25" s="356">
        <f t="shared" si="50"/>
        <v>0</v>
      </c>
      <c r="AV25" s="356">
        <f t="shared" si="54"/>
        <v>0</v>
      </c>
      <c r="AW25" s="356">
        <f t="shared" si="58"/>
        <v>0</v>
      </c>
      <c r="AX25" s="356">
        <f t="shared" si="62"/>
        <v>0</v>
      </c>
      <c r="AY25" s="356">
        <f t="shared" si="66"/>
        <v>0</v>
      </c>
      <c r="AZ25" s="356">
        <f t="shared" si="70"/>
        <v>0</v>
      </c>
      <c r="BA25" s="356">
        <f t="shared" si="74"/>
        <v>0</v>
      </c>
      <c r="BB25" s="356">
        <f t="shared" ref="BB25:BB31" si="78">IF($C25=0,0,IF(BB24+$F25*(AB25-AB24)*Remplissage_du_brin_montant/100+$H25&gt;=Durée_maximale_d_évacuation,Durée_maximale_d_évacuation,IF(BB24+$F25*(AB25-AB24)*Remplissage_du_brin_montant/100+$G25+$F26*(AB26-AB25)*Remplissage_du_brin_montant/100+$H26&gt;=Durée_maximale_d_évacuation,BB24+$F25*(AB25-AB24)*Remplissage_du_brin_montant/100+$H25,BB24+$F25*(AB25-AB24)*Remplissage_du_brin_montant/100+$G25)))</f>
        <v>0</v>
      </c>
      <c r="BC25" s="356">
        <f>IF($C25=0,0,IF($E25+$F25*AC25*Remplissage_du_brin_montant/100+$G25+($F26-$F25)*AC26*Remplissage_du_brin_montant/100+$H26&gt;=Durée_maximale_d_évacuation,$E25+$F25*AC25*Remplissage_du_brin_montant/100+$H25,$E25+$F25*AC25*Remplissage_du_brin_montant/100+$G25))</f>
        <v>0</v>
      </c>
      <c r="BD25" s="357"/>
      <c r="BE25" s="357"/>
      <c r="BF25" s="357"/>
      <c r="BG25" s="357"/>
      <c r="BH25" s="357"/>
      <c r="BI25" s="357"/>
      <c r="BJ25" s="224">
        <f t="shared" si="1"/>
        <v>0</v>
      </c>
      <c r="BK25" s="224">
        <f t="shared" si="11"/>
        <v>0</v>
      </c>
      <c r="BL25" s="224">
        <f t="shared" si="15"/>
        <v>0</v>
      </c>
      <c r="BM25" s="224">
        <f t="shared" si="19"/>
        <v>0</v>
      </c>
      <c r="BN25" s="224">
        <f t="shared" si="23"/>
        <v>0</v>
      </c>
      <c r="BO25" s="224">
        <f t="shared" si="27"/>
        <v>0</v>
      </c>
      <c r="BP25" s="224">
        <f t="shared" si="31"/>
        <v>0</v>
      </c>
      <c r="BQ25" s="224">
        <f t="shared" si="35"/>
        <v>0</v>
      </c>
      <c r="BR25" s="224">
        <f t="shared" si="39"/>
        <v>0</v>
      </c>
      <c r="BS25" s="224">
        <f t="shared" si="43"/>
        <v>0</v>
      </c>
      <c r="BT25" s="224">
        <f t="shared" si="47"/>
        <v>0</v>
      </c>
      <c r="BU25" s="224">
        <f t="shared" si="51"/>
        <v>0</v>
      </c>
      <c r="BV25" s="224">
        <f t="shared" si="55"/>
        <v>0</v>
      </c>
      <c r="BW25" s="224">
        <f t="shared" si="59"/>
        <v>0</v>
      </c>
      <c r="BX25" s="224">
        <f t="shared" si="63"/>
        <v>0</v>
      </c>
      <c r="BY25" s="224">
        <f t="shared" si="67"/>
        <v>0</v>
      </c>
      <c r="BZ25" s="224">
        <f t="shared" si="71"/>
        <v>0</v>
      </c>
      <c r="CA25" s="224">
        <f t="shared" si="75"/>
        <v>0</v>
      </c>
      <c r="CB25" s="224">
        <f t="shared" ref="CB25:CB31" si="79">IF(OR(CA25=1,CB24=0),0,IF(AB25=0,0,IF(AB25&lt;NMaxSiègeEquipe*(1+(100-Remplissage_du_brin_montant)*0.005)+1,IF(BB25&lt;Durée_maximale_d_évacuation,1,0),0)))</f>
        <v>0</v>
      </c>
      <c r="CC25" s="224">
        <f>IF(SUM(BJ25:CB25)&gt;0,0,IF(AC25=0,0,IF(AC25&lt;NMaxSiègeEquipe*(1+(100-Remplissage_du_brin_montant)*0.005)+1,IF(BC25&lt;Durée_maximale_d_évacuation,1,0),0)))</f>
        <v>0</v>
      </c>
      <c r="CD25" s="225"/>
      <c r="CE25" s="225"/>
      <c r="CF25" s="225"/>
      <c r="CG25" s="225"/>
      <c r="CH25" s="225"/>
      <c r="CI25" s="225"/>
      <c r="CJ25" s="332">
        <f t="shared" si="2"/>
        <v>0</v>
      </c>
      <c r="CK25" s="236">
        <f t="shared" si="3"/>
        <v>0</v>
      </c>
      <c r="CL25" s="238">
        <f t="shared" si="4"/>
        <v>0</v>
      </c>
      <c r="CM25" s="224">
        <f>IF(Remplissage_du_brin_montant=0,0,IF(19&gt;NBPylône,"",IF(SUM(BJ25:CB25)=1,CM24,CM24+1)))</f>
        <v>0</v>
      </c>
      <c r="CN25" s="17"/>
      <c r="CO25" s="236">
        <f>IF(C25=0,0,IF(ROUNDDOWN(SUM($C$6:C25)/Espacement_Véhicules+1,0)&gt;NMaxSiègeEquipe*(1+(100-Remplissage_du_brin_descendant)*0.005),NMaxSiègeEquipe*(1+(100-Remplissage_du_brin_descendant)*0.005) +1,ROUNDDOWN(SUM($C$6:C25)/Espacement_Véhicules+1,0)))</f>
        <v>0</v>
      </c>
      <c r="CP25" s="236">
        <f>IF($C25=0,0,IF(ROUNDDOWN(SUM($C$7:C25)/Espacement_Véhicules+1,0)&gt;NMaxSiègeEquipe*(1+(100-Remplissage_du_brin_descendant)*0.005),NMaxSiègeEquipe*(1+(100-Remplissage_du_brin_descendant)*0.005) +1,ROUNDDOWN(SUM($C$7:C25)/Espacement_Véhicules+1,0)))</f>
        <v>0</v>
      </c>
      <c r="CQ25" s="236">
        <f>IF($C25=0,0,IF(ROUNDDOWN(SUM($C$8:C25)/Espacement_Véhicules+1,0)&gt;NMaxSiègeEquipe*(1+(100-Remplissage_du_brin_descendant)*0.005),NMaxSiègeEquipe*(1+(100-Remplissage_du_brin_descendant)*0.005) +1,ROUNDDOWN(SUM($C$8:C25)/Espacement_Véhicules+1,0)))</f>
        <v>0</v>
      </c>
      <c r="CR25" s="236">
        <f>IF($C25=0,0,IF(ROUNDDOWN(SUM($C$9:C25)/Espacement_Véhicules+1,0)&gt;NMaxSiègeEquipe*(1+(100-Remplissage_du_brin_descendant)*0.005),NMaxSiègeEquipe*(1+(100-Remplissage_du_brin_descendant)*0.005) +1,ROUNDDOWN(SUM($C$9:C25)/Espacement_Véhicules+1,0)))</f>
        <v>0</v>
      </c>
      <c r="CS25" s="236">
        <f>IF($C25=0,0,IF(ROUNDDOWN(SUM($C$10:C25)/Espacement_Véhicules+1,0)&gt;NMaxSiègeEquipe*(1+(100-Remplissage_du_brin_descendant)*0.005),NMaxSiègeEquipe*(1+(100-Remplissage_du_brin_descendant)*0.005) +1,ROUNDDOWN(SUM($C$10:C25)/Espacement_Véhicules+1,0)))</f>
        <v>0</v>
      </c>
      <c r="CT25" s="236">
        <f>IF($C25=0,0,IF(ROUNDDOWN(SUM($C$11:C25)/Espacement_Véhicules+1,0)&gt;NMaxSiègeEquipe*(1+(100-Remplissage_du_brin_descendant)*0.005),NMaxSiègeEquipe*(1+(100-Remplissage_du_brin_descendant)*0.005) +1,ROUNDDOWN(SUM($C$11:C25)/Espacement_Véhicules+1,0)))</f>
        <v>0</v>
      </c>
      <c r="CU25" s="236">
        <f>IF($C25=0,0,IF(ROUNDDOWN(SUM($C$12:C25)/Espacement_Véhicules+1,0)&gt;NMaxSiègeEquipe*(1+(100-Remplissage_du_brin_descendant)*0.005),NMaxSiègeEquipe*(1+(100-Remplissage_du_brin_descendant)*0.005) +1,ROUNDDOWN(SUM($C$12:C25)/Espacement_Véhicules+1,0)))</f>
        <v>0</v>
      </c>
      <c r="CV25" s="236">
        <f>IF($C25=0,0,IF(ROUNDDOWN(SUM($C$13:C25)/Espacement_Véhicules+1,0)&gt;NMaxSiègeEquipe*(1+(100-Remplissage_du_brin_descendant)*0.005),NMaxSiègeEquipe*(1+(100-Remplissage_du_brin_descendant)*0.005) +1,ROUNDDOWN(SUM($C$13:C25)/Espacement_Véhicules+1,0)))</f>
        <v>0</v>
      </c>
      <c r="CW25" s="236">
        <f>IF($C25=0,0,IF(ROUNDDOWN(SUM($C$14:C25)/Espacement_Véhicules+1,0)&gt;NMaxSiègeEquipe*(1+(100-Remplissage_du_brin_descendant)*0.005),NMaxSiègeEquipe*(1+(100-Remplissage_du_brin_descendant)*0.005) +1,ROUNDDOWN(SUM($C$14:C25)/Espacement_Véhicules+1,0)))</f>
        <v>0</v>
      </c>
      <c r="CX25" s="236">
        <f>IF($C25=0,0,IF(ROUNDDOWN(SUM($C$15:C25)/Espacement_Véhicules+1,0)&gt;NMaxSiègeEquipe*(1+(100-Remplissage_du_brin_descendant)*0.005),NMaxSiègeEquipe*(1+(100-Remplissage_du_brin_descendant)*0.005) +1,ROUNDDOWN(SUM($C$15:C25)/Espacement_Véhicules+1,0)))</f>
        <v>0</v>
      </c>
      <c r="CY25" s="236">
        <f>IF($C25=0,0,IF(ROUNDDOWN(SUM($C$16:C25)/Espacement_Véhicules+1,0)&gt;NMaxSiègeEquipe*(1+(100-Remplissage_du_brin_descendant)*0.005),NMaxSiègeEquipe*(1+(100-Remplissage_du_brin_descendant)*0.005) +1,ROUNDDOWN(SUM($C$16:C25)/Espacement_Véhicules+1,0)))</f>
        <v>0</v>
      </c>
      <c r="CZ25" s="236">
        <f>IF($C25=0,0,IF(ROUNDDOWN(SUM($C$17:C25)/Espacement_Véhicules+1,0)&gt;NMaxSiègeEquipe*(1+(100-Remplissage_du_brin_descendant)*0.005),NMaxSiègeEquipe*(1+(100-Remplissage_du_brin_descendant)*0.005) +1,ROUNDDOWN(SUM($C$17:C25)/Espacement_Véhicules+1,0)))</f>
        <v>0</v>
      </c>
      <c r="DA25" s="236">
        <f>IF($C25=0,0,IF(ROUNDDOWN(SUM($C$18:C25)/Espacement_Véhicules+1,0)&gt;NMaxSiègeEquipe*(1+(100-Remplissage_du_brin_descendant)*0.005),NMaxSiègeEquipe*(1+(100-Remplissage_du_brin_descendant)*0.005) +1,ROUNDDOWN(SUM($C$18:C25)/Espacement_Véhicules+1,0)))</f>
        <v>0</v>
      </c>
      <c r="DB25" s="236">
        <f>IF($C25=0,0,IF(ROUNDDOWN(SUM($C$19:C25)/Espacement_Véhicules+1,0)&gt;NMaxSiègeEquipe*(1+(100-Remplissage_du_brin_descendant)*0.005),NMaxSiègeEquipe*(1+(100-Remplissage_du_brin_descendant)*0.005) +1,ROUNDDOWN(SUM($C$19:C25)/Espacement_Véhicules+1,0)))</f>
        <v>0</v>
      </c>
      <c r="DC25" s="236">
        <f>IF($C25=0,0,IF(ROUNDDOWN(SUM($C$20:C25)/Espacement_Véhicules+1,0)&gt;NMaxSiègeEquipe*(1+(100-Remplissage_du_brin_descendant)*0.005),NMaxSiègeEquipe*(1+(100-Remplissage_du_brin_descendant)*0.005) +1,ROUNDDOWN(SUM($C$20:C25)/Espacement_Véhicules+1,0)))</f>
        <v>0</v>
      </c>
      <c r="DD25" s="236">
        <f>IF($C25=0,0,IF(ROUNDDOWN(SUM($C$21:C25)/Espacement_Véhicules+1,0)&gt;NMaxSiègeEquipe*(1+(100-Remplissage_du_brin_descendant)*0.005),NMaxSiègeEquipe*(1+(100-Remplissage_du_brin_descendant)*0.005) +1,ROUNDDOWN(SUM($C$21:C25)/Espacement_Véhicules+1,0)))</f>
        <v>0</v>
      </c>
      <c r="DE25" s="236">
        <f>IF($C25=0,0,IF(ROUNDDOWN(SUM($C$22:C25)/Espacement_Véhicules+1,0)&gt;NMaxSiègeEquipe*(1+(100-Remplissage_du_brin_descendant)*0.005),NMaxSiègeEquipe*(1+(100-Remplissage_du_brin_descendant)*0.005) +1,ROUNDDOWN(SUM($C$22:C25)/Espacement_Véhicules+1,0)))</f>
        <v>0</v>
      </c>
      <c r="DF25" s="236">
        <f>IF($C25=0,0,IF(ROUNDDOWN(SUM($C$23:C25)/Espacement_Véhicules+1,0)&gt;NMaxSiègeEquipe*(1+(100-Remplissage_du_brin_descendant)*0.005),NMaxSiègeEquipe*(1+(100-Remplissage_du_brin_descendant)*0.005) +1,ROUNDDOWN(SUM($C$23:C25)/Espacement_Véhicules+1,0)))</f>
        <v>0</v>
      </c>
      <c r="DG25" s="236">
        <f>IF($C25=0,0,IF(ROUNDDOWN(SUM($C$24:C25)/Espacement_Véhicules+1,0)&gt;NMaxSiègeEquipe*(1+(100-Remplissage_du_brin_descendant)*0.005),NMaxSiègeEquipe*(1+(100-Remplissage_du_brin_descendant)*0.005) +1,ROUNDDOWN(SUM($C$24:C25)/Espacement_Véhicules+1,0)))</f>
        <v>0</v>
      </c>
      <c r="DH25" s="236">
        <f>IF($C25=0,0,ROUNDDOWN($C25/Espacement_Véhicules+1,0))</f>
        <v>0</v>
      </c>
      <c r="DI25" s="350"/>
      <c r="DJ25" s="350"/>
      <c r="DK25" s="350"/>
      <c r="DL25" s="350"/>
      <c r="DM25" s="350"/>
      <c r="DN25" s="350"/>
      <c r="DO25" s="356">
        <f t="shared" si="5"/>
        <v>0</v>
      </c>
      <c r="DP25" s="356">
        <f t="shared" si="12"/>
        <v>0</v>
      </c>
      <c r="DQ25" s="356">
        <f t="shared" si="16"/>
        <v>0</v>
      </c>
      <c r="DR25" s="356">
        <f t="shared" si="20"/>
        <v>0</v>
      </c>
      <c r="DS25" s="356">
        <f t="shared" si="24"/>
        <v>0</v>
      </c>
      <c r="DT25" s="356">
        <f t="shared" si="28"/>
        <v>0</v>
      </c>
      <c r="DU25" s="356">
        <f t="shared" si="32"/>
        <v>0</v>
      </c>
      <c r="DV25" s="356">
        <f t="shared" si="36"/>
        <v>0</v>
      </c>
      <c r="DW25" s="356">
        <f t="shared" si="40"/>
        <v>0</v>
      </c>
      <c r="DX25" s="356">
        <f t="shared" si="44"/>
        <v>0</v>
      </c>
      <c r="DY25" s="356">
        <f t="shared" si="48"/>
        <v>0</v>
      </c>
      <c r="DZ25" s="356">
        <f t="shared" si="52"/>
        <v>0</v>
      </c>
      <c r="EA25" s="356">
        <f t="shared" si="56"/>
        <v>0</v>
      </c>
      <c r="EB25" s="356">
        <f t="shared" si="60"/>
        <v>0</v>
      </c>
      <c r="EC25" s="356">
        <f t="shared" si="64"/>
        <v>0</v>
      </c>
      <c r="ED25" s="356">
        <f t="shared" si="68"/>
        <v>0</v>
      </c>
      <c r="EE25" s="356">
        <f t="shared" si="72"/>
        <v>0</v>
      </c>
      <c r="EF25" s="356">
        <f t="shared" si="76"/>
        <v>0</v>
      </c>
      <c r="EG25" s="356">
        <f t="shared" ref="EG25:EG31" si="80">IF($C25=0,0,IF(EG24+$F25*(DG25-DG24)*Remplissage_du_brin_descendant/100+$H25&gt;=Durée_maximale_d_évacuation,Durée_maximale_d_évacuation,IF(EG24+$F25*(DG25-DG24)*Remplissage_du_brin_descendant/100+$G25+$F26*(DG26-DG25)*Remplissage_du_brin_descendant/100+$H26&gt;=Durée_maximale_d_évacuation,EG24+$F25*(DG25-DG24)*Remplissage_du_brin_descendant/100+$H25,EG24+$F25*(DG25-DG24)*Remplissage_du_brin_descendant/100+$G25)))</f>
        <v>0</v>
      </c>
      <c r="EH25" s="356">
        <f>IF($C25=0,0,IF($E25+$F25*DH25*Remplissage_du_brin_descendant/100+$G25+($F26-$F25)*DH26*Remplissage_du_brin_descendant/100+$H26&gt;=Durée_maximale_d_évacuation,$E25+$F25*DH25*Remplissage_du_brin_descendant/100+$H25,$E25+$F25*DH25*Remplissage_du_brin_descendant/100+$G25))</f>
        <v>0</v>
      </c>
      <c r="EI25" s="357"/>
      <c r="EJ25" s="357"/>
      <c r="EK25" s="357"/>
      <c r="EL25" s="357"/>
      <c r="EM25" s="357"/>
      <c r="EN25" s="357"/>
      <c r="EO25" s="224">
        <f t="shared" si="6"/>
        <v>0</v>
      </c>
      <c r="EP25" s="224">
        <f t="shared" si="13"/>
        <v>0</v>
      </c>
      <c r="EQ25" s="224">
        <f t="shared" si="17"/>
        <v>0</v>
      </c>
      <c r="ER25" s="224">
        <f t="shared" si="21"/>
        <v>0</v>
      </c>
      <c r="ES25" s="224">
        <f t="shared" si="25"/>
        <v>0</v>
      </c>
      <c r="ET25" s="224">
        <f t="shared" si="29"/>
        <v>0</v>
      </c>
      <c r="EU25" s="224">
        <f t="shared" si="33"/>
        <v>0</v>
      </c>
      <c r="EV25" s="224">
        <f t="shared" si="37"/>
        <v>0</v>
      </c>
      <c r="EW25" s="224">
        <f t="shared" si="41"/>
        <v>0</v>
      </c>
      <c r="EX25" s="224">
        <f t="shared" si="45"/>
        <v>0</v>
      </c>
      <c r="EY25" s="224">
        <f t="shared" si="49"/>
        <v>0</v>
      </c>
      <c r="EZ25" s="224">
        <f t="shared" si="53"/>
        <v>0</v>
      </c>
      <c r="FA25" s="224">
        <f t="shared" si="57"/>
        <v>0</v>
      </c>
      <c r="FB25" s="224">
        <f t="shared" si="61"/>
        <v>0</v>
      </c>
      <c r="FC25" s="224">
        <f t="shared" si="65"/>
        <v>0</v>
      </c>
      <c r="FD25" s="224">
        <f t="shared" si="69"/>
        <v>0</v>
      </c>
      <c r="FE25" s="224">
        <f t="shared" si="73"/>
        <v>0</v>
      </c>
      <c r="FF25" s="224">
        <f t="shared" si="77"/>
        <v>0</v>
      </c>
      <c r="FG25" s="224">
        <f t="shared" ref="FG25:FG31" si="81">IF(OR(FF25=1,FG24=0),0,IF(DG25=0,0,IF(DG25&lt;NMaxSiègeEquipe*(1+(100-Remplissage_du_brin_descendant)*0.005)+1,IF(EG25&lt;Durée_maximale_d_évacuation,1,0),0)))</f>
        <v>0</v>
      </c>
      <c r="FH25" s="224">
        <f>IF(SUM(EO25:FG25)&gt;0,0,IF(DH25=0,0,IF(DH25&lt;NMaxSiègeEquipe*(1+(100-Remplissage_du_brin_descendant)*0.005)+1,IF(EH25&lt;Durée_maximale_d_évacuation,1,0),0)))</f>
        <v>0</v>
      </c>
      <c r="FI25" s="225"/>
      <c r="FJ25" s="225"/>
      <c r="FK25" s="225"/>
      <c r="FL25" s="225"/>
      <c r="FM25" s="225"/>
      <c r="FN25" s="225"/>
      <c r="FO25" s="332">
        <f t="shared" si="7"/>
        <v>0</v>
      </c>
      <c r="FP25" s="236">
        <f t="shared" si="8"/>
        <v>0</v>
      </c>
      <c r="FQ25" s="238">
        <f t="shared" si="9"/>
        <v>0</v>
      </c>
      <c r="FR25" s="224">
        <f>IF(Remplissage_du_brin_descendant=0,0,IF(19&gt;NBPylône,"",IF(SUM(EO25:FG25)=1,FR24,FR24+1)))</f>
        <v>0</v>
      </c>
    </row>
    <row r="26" spans="1:174" x14ac:dyDescent="0.2">
      <c r="A26" s="62" t="str">
        <f>'     2-DL     '!C28</f>
        <v/>
      </c>
      <c r="B26" s="65" t="str">
        <f>'     2-DL     '!D28</f>
        <v/>
      </c>
      <c r="C26" s="63">
        <f>IF(B26="",0,'     2-DL     '!E28)</f>
        <v>0</v>
      </c>
      <c r="D26" s="66"/>
      <c r="E26" s="4">
        <f>IF(C26=0,0,'     2-DL     '!F28)</f>
        <v>0</v>
      </c>
      <c r="F26" s="4">
        <f>IF(C26=0,0,IF(S_TempsEvacuationVehicule=1,A_TempsEvacuationVéhicule,'     2-DL     '!H28))</f>
        <v>0</v>
      </c>
      <c r="G26" s="4">
        <f>IF(C26=0,0,IF(S_TempsAccèsPortéeSuivante=1,A_TempsAccèsPortéeSuivante,'     2-DL     '!J28))</f>
        <v>0</v>
      </c>
      <c r="H26" s="4">
        <f>IF(C26=0,0,'     2-DL     '!L28)</f>
        <v>0</v>
      </c>
      <c r="I26" s="66"/>
      <c r="J26" s="236">
        <f>IF($C26=0,0,IF(ROUNDDOWN(SUM($C$6:C26)/Espacement_Véhicules+1,0)&gt;NMaxSiègeEquipe*(1+(100-Remplissage_du_brin_montant)*0.005),NMaxSiègeEquipe*(1+(100-Remplissage_du_brin_montant)*0.005) +1,ROUNDDOWN(SUM($C$6:C26)/Espacement_Véhicules+1,0)))</f>
        <v>0</v>
      </c>
      <c r="K26" s="236">
        <f>IF($C26=0,0,IF(ROUNDDOWN(SUM($C$7:C26)/Espacement_Véhicules+1,0)&gt;NMaxSiègeEquipe*(1+(100-Remplissage_du_brin_montant)*0.005),NMaxSiègeEquipe*(1+(100-Remplissage_du_brin_montant)*0.005) +1,ROUNDDOWN(SUM($C$7:C26)/Espacement_Véhicules+1,0)))</f>
        <v>0</v>
      </c>
      <c r="L26" s="236">
        <f>IF($C26=0,0,IF(ROUNDDOWN(SUM($C$8:C26)/Espacement_Véhicules+1,0)&gt;NMaxSiègeEquipe*(1+(100-Remplissage_du_brin_montant)*0.005),NMaxSiègeEquipe*(1+(100-Remplissage_du_brin_montant)*0.005) +1,ROUNDDOWN(SUM($C$8:C26)/Espacement_Véhicules+1,0)))</f>
        <v>0</v>
      </c>
      <c r="M26" s="236">
        <f>IF($C26=0,0,IF(ROUNDDOWN(SUM($C$9:C26)/Espacement_Véhicules+1,0)&gt;NMaxSiègeEquipe*(1+(100-Remplissage_du_brin_montant)*0.005),NMaxSiègeEquipe*(1+(100-Remplissage_du_brin_montant)*0.005) +1,ROUNDDOWN(SUM($C$9:C26)/Espacement_Véhicules+1,0)))</f>
        <v>0</v>
      </c>
      <c r="N26" s="236">
        <f>IF($C26=0,0,IF(ROUNDDOWN(SUM($C10:$C26)/Espacement_Véhicules+1,0)&gt;NMaxSiègeEquipe*(1+(100-Remplissage_du_brin_montant)*0.005),NMaxSiègeEquipe +1,ROUNDDOWN(SUM($C10:$C26)/Espacement_Véhicules+1,0)))</f>
        <v>0</v>
      </c>
      <c r="O26" s="236">
        <f>IF($C26=0,0,IF(ROUNDDOWN(SUM($C25:C26)/Espacement_Véhicules+1,0)&gt;NMaxSiègeEquipe*(1+(100-Remplissage_du_brin_montant)*0.005),NMaxSiègeEquipe*(1+(100-Remplissage_du_brin_montant)*0.005) +1,ROUNDDOWN(SUM($C$11:C26)/Espacement_Véhicules+1,0)))</f>
        <v>0</v>
      </c>
      <c r="P26" s="236">
        <f>IF($C26=0,0,IF(ROUNDDOWN(SUM($C$12:C26)/Espacement_Véhicules+1,0)&gt;NMaxSiègeEquipe*(1+(100-Remplissage_du_brin_montant)*0.005),NMaxSiègeEquipe*(1+(100-Remplissage_du_brin_montant)*0.005) +1,ROUNDDOWN(SUM($C$12:C26)/Espacement_Véhicules+1,0)))</f>
        <v>0</v>
      </c>
      <c r="Q26" s="236">
        <f>IF($C26=0,0,IF(ROUNDDOWN(SUM($C$13:C26)/Espacement_Véhicules+1,0)&gt;NMaxSiègeEquipe*(1+(100-Remplissage_du_brin_montant)*0.005),NMaxSiègeEquipe*(1+(100-Remplissage_du_brin_montant)*0.005) +1,ROUNDDOWN(SUM($C$13:C26)/Espacement_Véhicules+1,0)))</f>
        <v>0</v>
      </c>
      <c r="R26" s="236">
        <f>IF($C26=0,0,IF(ROUNDDOWN(SUM($C$14:C26)/Espacement_Véhicules+1,0)&gt;NMaxSiègeEquipe*(1+(100-Remplissage_du_brin_montant)*0.005),NMaxSiègeEquipe*(1+(100-Remplissage_du_brin_montant)*0.005) +1,ROUNDDOWN(SUM($C$14:C26)/Espacement_Véhicules+1,0)))</f>
        <v>0</v>
      </c>
      <c r="S26" s="236">
        <f>IF($C26=0,0,IF(ROUNDDOWN(SUM($C$15:C26)/Espacement_Véhicules+1,0)&gt;NMaxSiègeEquipe*(1+(100-Remplissage_du_brin_montant)*0.005),NMaxSiègeEquipe*(1+(100-Remplissage_du_brin_montant)*0.005) +1,ROUNDDOWN(SUM($C$15:C26)/Espacement_Véhicules+1,0)))</f>
        <v>0</v>
      </c>
      <c r="T26" s="236">
        <f>IF($C26=0,0,IF(ROUNDDOWN(SUM($C$16:C26)/Espacement_Véhicules+1,0)&gt;NMaxSiègeEquipe*(1+(100-Remplissage_du_brin_montant)*0.005),NMaxSiègeEquipe*(1+(100-Remplissage_du_brin_montant)*0.005) +1,ROUNDDOWN(SUM($C$16:C26)/Espacement_Véhicules+1,0)))</f>
        <v>0</v>
      </c>
      <c r="U26" s="236">
        <f>IF($C26=0,0,IF(ROUNDDOWN(SUM($C$17:C26)/Espacement_Véhicules+1,0)&gt;NMaxSiègeEquipe*(1+(100-Remplissage_du_brin_montant)*0.005),NMaxSiègeEquipe*(1+(100-Remplissage_du_brin_montant)*0.005) +1,ROUNDDOWN(SUM($C$17:C26)/Espacement_Véhicules+1,0)))</f>
        <v>0</v>
      </c>
      <c r="V26" s="236">
        <f>IF($C26=0,0,IF(ROUNDDOWN(SUM($C$18:C26)/Espacement_Véhicules+1,0)&gt;NMaxSiègeEquipe*(1+(100-Remplissage_du_brin_montant)*0.005),NMaxSiègeEquipe*(1+(100-Remplissage_du_brin_montant)*0.005) +1,ROUNDDOWN(SUM($C$18:C26)/Espacement_Véhicules+1,0)))</f>
        <v>0</v>
      </c>
      <c r="W26" s="236">
        <f>IF($C26=0,0,IF(ROUNDDOWN(SUM($C$19:C26)/Espacement_Véhicules+1,0)&gt;NMaxSiègeEquipe*(1+(100-Remplissage_du_brin_montant)*0.005),NMaxSiègeEquipe*(1+(100-Remplissage_du_brin_montant)*0.005) +1,ROUNDDOWN(SUM($C$19:C26)/Espacement_Véhicules+1,0)))</f>
        <v>0</v>
      </c>
      <c r="X26" s="236">
        <f>IF($C26=0,0,IF(ROUNDDOWN(SUM($C$20:C26)/Espacement_Véhicules+1,0)&gt;NMaxSiègeEquipe*(1+(100-Remplissage_du_brin_montant)*0.005),NMaxSiègeEquipe*(1+(100-Remplissage_du_brin_montant)*0.005) +1,ROUNDDOWN(SUM($C$20:C26)/Espacement_Véhicules+1,0)))</f>
        <v>0</v>
      </c>
      <c r="Y26" s="236">
        <f>IF($C26=0,0,IF(ROUNDDOWN(SUM($C$21:C26)/Espacement_Véhicules+1,0)&gt;NMaxSiègeEquipe*(1+(100-Remplissage_du_brin_montant)*0.005),NMaxSiègeEquipe*(1+(100-Remplissage_du_brin_montant)*0.005) +1,ROUNDDOWN(SUM($C$21:C26)/Espacement_Véhicules+1,0)))</f>
        <v>0</v>
      </c>
      <c r="Z26" s="236">
        <f>IF($C26=0,0,IF(ROUNDDOWN(SUM($C$22:C26)/Espacement_Véhicules+1,0)&gt;NMaxSiègeEquipe*(1+(100-Remplissage_du_brin_montant)*0.005),NMaxSiègeEquipe*(1+(100-Remplissage_du_brin_montant)*0.005) +1,ROUNDDOWN(SUM($C$22:C26)/Espacement_Véhicules+1,0)))</f>
        <v>0</v>
      </c>
      <c r="AA26" s="236">
        <f>IF($C26=0,0,IF(ROUNDDOWN(SUM($C$23:C26)/Espacement_Véhicules+1,0)&gt;NMaxSiègeEquipe*(1+(100-Remplissage_du_brin_montant)*0.005),NMaxSiègeEquipe*(1+(100-Remplissage_du_brin_montant)*0.005) +1,ROUNDDOWN(SUM($C$23:C26)/Espacement_Véhicules+1,0)))</f>
        <v>0</v>
      </c>
      <c r="AB26" s="236">
        <f>IF($C26=0,0,IF(ROUNDDOWN(SUM($C$24:C26)/Espacement_Véhicules+1,0)&gt;NMaxSiègeEquipe*(1+(100-Remplissage_du_brin_montant)*0.005),NMaxSiègeEquipe*(1+(100-Remplissage_du_brin_montant)*0.005)+1,ROUNDDOWN(SUM($C$24:C26)/Espacement_Véhicules+1,0)))</f>
        <v>0</v>
      </c>
      <c r="AC26" s="236">
        <f>IF($C26=0,0,IF(ROUNDDOWN(SUM($C$25:C26)/Espacement_Véhicules+1,0)&gt;NMaxSiègeEquipe*(1+(100-Remplissage_du_brin_montant)*0.005),NMaxSiègeEquipe*(1+(100-Remplissage_du_brin_montant)*0.005) +1,ROUNDDOWN(SUM($C$25:C26)/Espacement_Véhicules+1,0)))</f>
        <v>0</v>
      </c>
      <c r="AD26" s="236">
        <f>IF($C26=0,0,ROUNDDOWN($C26/Espacement_Véhicules+1,0))</f>
        <v>0</v>
      </c>
      <c r="AE26" s="350"/>
      <c r="AF26" s="350"/>
      <c r="AG26" s="350"/>
      <c r="AH26" s="350"/>
      <c r="AI26" s="350"/>
      <c r="AJ26" s="356">
        <f t="shared" si="0"/>
        <v>0</v>
      </c>
      <c r="AK26" s="356">
        <f t="shared" si="10"/>
        <v>0</v>
      </c>
      <c r="AL26" s="356">
        <f t="shared" si="14"/>
        <v>0</v>
      </c>
      <c r="AM26" s="356">
        <f t="shared" si="18"/>
        <v>0</v>
      </c>
      <c r="AN26" s="356">
        <f t="shared" si="22"/>
        <v>0</v>
      </c>
      <c r="AO26" s="356">
        <f t="shared" si="26"/>
        <v>0</v>
      </c>
      <c r="AP26" s="356">
        <f t="shared" si="30"/>
        <v>0</v>
      </c>
      <c r="AQ26" s="356">
        <f t="shared" si="34"/>
        <v>0</v>
      </c>
      <c r="AR26" s="356">
        <f t="shared" si="38"/>
        <v>0</v>
      </c>
      <c r="AS26" s="356">
        <f t="shared" si="42"/>
        <v>0</v>
      </c>
      <c r="AT26" s="356">
        <f t="shared" si="46"/>
        <v>0</v>
      </c>
      <c r="AU26" s="356">
        <f t="shared" si="50"/>
        <v>0</v>
      </c>
      <c r="AV26" s="356">
        <f t="shared" si="54"/>
        <v>0</v>
      </c>
      <c r="AW26" s="356">
        <f t="shared" si="58"/>
        <v>0</v>
      </c>
      <c r="AX26" s="356">
        <f t="shared" si="62"/>
        <v>0</v>
      </c>
      <c r="AY26" s="356">
        <f t="shared" si="66"/>
        <v>0</v>
      </c>
      <c r="AZ26" s="356">
        <f t="shared" si="70"/>
        <v>0</v>
      </c>
      <c r="BA26" s="356">
        <f t="shared" si="74"/>
        <v>0</v>
      </c>
      <c r="BB26" s="356">
        <f t="shared" si="78"/>
        <v>0</v>
      </c>
      <c r="BC26" s="356">
        <f t="shared" ref="BC26:BC31" si="82">IF($C26=0,0,IF(BC25+$F26*(AC26-AC25)*Remplissage_du_brin_montant/100+$H26&gt;=Durée_maximale_d_évacuation,Durée_maximale_d_évacuation,IF(BC25+$F26*(AC26-AC25)*Remplissage_du_brin_montant/100+$G26+$F27*(AC27-AC26)*Remplissage_du_brin_montant/100+$H27&gt;=Durée_maximale_d_évacuation,BC25+$F26*(AC26-AC25)*Remplissage_du_brin_montant/100+$H26,BC25+$F26*(AC26-AC25)*Remplissage_du_brin_montant/100+$G26)))</f>
        <v>0</v>
      </c>
      <c r="BD26" s="356">
        <f>IF($C26=0,0,IF($E26+$F26*AD26*Remplissage_du_brin_montant/100+$G26+($F27-$F26)*AD27*Remplissage_du_brin_montant/100+$H27&gt;=Durée_maximale_d_évacuation,$E26+$F26*AD26*Remplissage_du_brin_montant/100+$H26,$E26+$F26*AD26*Remplissage_du_brin_montant/100+$G26))</f>
        <v>0</v>
      </c>
      <c r="BE26" s="357"/>
      <c r="BF26" s="357"/>
      <c r="BG26" s="357"/>
      <c r="BH26" s="357"/>
      <c r="BI26" s="357"/>
      <c r="BJ26" s="224">
        <f t="shared" si="1"/>
        <v>0</v>
      </c>
      <c r="BK26" s="224">
        <f t="shared" si="11"/>
        <v>0</v>
      </c>
      <c r="BL26" s="224">
        <f t="shared" si="15"/>
        <v>0</v>
      </c>
      <c r="BM26" s="224">
        <f t="shared" si="19"/>
        <v>0</v>
      </c>
      <c r="BN26" s="224">
        <f t="shared" si="23"/>
        <v>0</v>
      </c>
      <c r="BO26" s="224">
        <f t="shared" si="27"/>
        <v>0</v>
      </c>
      <c r="BP26" s="224">
        <f t="shared" si="31"/>
        <v>0</v>
      </c>
      <c r="BQ26" s="224">
        <f t="shared" si="35"/>
        <v>0</v>
      </c>
      <c r="BR26" s="224">
        <f t="shared" si="39"/>
        <v>0</v>
      </c>
      <c r="BS26" s="224">
        <f t="shared" si="43"/>
        <v>0</v>
      </c>
      <c r="BT26" s="224">
        <f t="shared" si="47"/>
        <v>0</v>
      </c>
      <c r="BU26" s="224">
        <f t="shared" si="51"/>
        <v>0</v>
      </c>
      <c r="BV26" s="224">
        <f t="shared" si="55"/>
        <v>0</v>
      </c>
      <c r="BW26" s="224">
        <f t="shared" si="59"/>
        <v>0</v>
      </c>
      <c r="BX26" s="224">
        <f t="shared" si="63"/>
        <v>0</v>
      </c>
      <c r="BY26" s="224">
        <f t="shared" si="67"/>
        <v>0</v>
      </c>
      <c r="BZ26" s="224">
        <f t="shared" si="71"/>
        <v>0</v>
      </c>
      <c r="CA26" s="224">
        <f t="shared" si="75"/>
        <v>0</v>
      </c>
      <c r="CB26" s="224">
        <f t="shared" si="79"/>
        <v>0</v>
      </c>
      <c r="CC26" s="224">
        <f t="shared" ref="CC26:CC31" si="83">IF(OR(CB26=1,CC25=0),0,IF(AC26=0,0,IF(AC26&lt;NMaxSiègeEquipe*(1+(100-Remplissage_du_brin_montant)*0.005)+1,IF(BC26&lt;Durée_maximale_d_évacuation,1,0),0)))</f>
        <v>0</v>
      </c>
      <c r="CD26" s="224">
        <f>IF(SUM(BJ26:CC26)&gt;0,0,IF(AD26=0,0,IF(AD26&lt;NMaxSiègeEquipe*(1+(100-Remplissage_du_brin_montant)*0.005)+1,IF(BD26&lt;Durée_maximale_d_évacuation,1,0),0)))</f>
        <v>0</v>
      </c>
      <c r="CE26" s="225"/>
      <c r="CF26" s="225"/>
      <c r="CG26" s="225"/>
      <c r="CH26" s="225"/>
      <c r="CI26" s="225"/>
      <c r="CJ26" s="332">
        <f t="shared" si="2"/>
        <v>0</v>
      </c>
      <c r="CK26" s="236">
        <f t="shared" si="3"/>
        <v>0</v>
      </c>
      <c r="CL26" s="238">
        <f t="shared" si="4"/>
        <v>0</v>
      </c>
      <c r="CM26" s="224">
        <f>IF(Remplissage_du_brin_montant=0,0,IF(20&gt;NBPylône,"",IF(SUM(BJ26:CC26)=1,CM25,CM25+1)))</f>
        <v>0</v>
      </c>
      <c r="CN26" s="17"/>
      <c r="CO26" s="236">
        <f>IF(C26=0,0,IF(ROUNDDOWN(SUM($C$6:C26)/Espacement_Véhicules+1,0)&gt;NMaxSiègeEquipe*(1+(100-Remplissage_du_brin_descendant)*0.005),NMaxSiègeEquipe*(1+(100-Remplissage_du_brin_descendant)*0.005) +1,ROUNDDOWN(SUM($C$6:C26)/Espacement_Véhicules+1,0)))</f>
        <v>0</v>
      </c>
      <c r="CP26" s="236">
        <f>IF($C26=0,0,IF(ROUNDDOWN(SUM($C$7:C26)/Espacement_Véhicules+1,0)&gt;NMaxSiègeEquipe*(1+(100-Remplissage_du_brin_descendant)*0.005),NMaxSiègeEquipe*(1+(100-Remplissage_du_brin_descendant)*0.005) +1,ROUNDDOWN(SUM($C$7:C26)/Espacement_Véhicules+1,0)))</f>
        <v>0</v>
      </c>
      <c r="CQ26" s="236">
        <f>IF($C26=0,0,IF(ROUNDDOWN(SUM($C$8:C26)/Espacement_Véhicules+1,0)&gt;NMaxSiègeEquipe*(1+(100-Remplissage_du_brin_descendant)*0.005),NMaxSiègeEquipe*(1+(100-Remplissage_du_brin_descendant)*0.005) +1,ROUNDDOWN(SUM($C$8:C26)/Espacement_Véhicules+1,0)))</f>
        <v>0</v>
      </c>
      <c r="CR26" s="236">
        <f>IF($C26=0,0,IF(ROUNDDOWN(SUM($C$9:C26)/Espacement_Véhicules+1,0)&gt;NMaxSiègeEquipe*(1+(100-Remplissage_du_brin_descendant)*0.005),NMaxSiègeEquipe*(1+(100-Remplissage_du_brin_descendant)*0.005) +1,ROUNDDOWN(SUM($C$9:C26)/Espacement_Véhicules+1,0)))</f>
        <v>0</v>
      </c>
      <c r="CS26" s="236">
        <f>IF($C26=0,0,IF(ROUNDDOWN(SUM($C$10:C26)/Espacement_Véhicules+1,0)&gt;NMaxSiègeEquipe*(1+(100-Remplissage_du_brin_descendant)*0.005),NMaxSiègeEquipe*(1+(100-Remplissage_du_brin_descendant)*0.005) +1,ROUNDDOWN(SUM($C$10:C26)/Espacement_Véhicules+1,0)))</f>
        <v>0</v>
      </c>
      <c r="CT26" s="236">
        <f>IF($C26=0,0,IF(ROUNDDOWN(SUM($C$11:C26)/Espacement_Véhicules+1,0)&gt;NMaxSiègeEquipe*(1+(100-Remplissage_du_brin_descendant)*0.005),NMaxSiègeEquipe*(1+(100-Remplissage_du_brin_descendant)*0.005) +1,ROUNDDOWN(SUM($C$11:C26)/Espacement_Véhicules+1,0)))</f>
        <v>0</v>
      </c>
      <c r="CU26" s="236">
        <f>IF($C26=0,0,IF(ROUNDDOWN(SUM($C$12:C26)/Espacement_Véhicules+1,0)&gt;NMaxSiègeEquipe*(1+(100-Remplissage_du_brin_descendant)*0.005),NMaxSiègeEquipe*(1+(100-Remplissage_du_brin_descendant)*0.005) +1,ROUNDDOWN(SUM($C$12:C26)/Espacement_Véhicules+1,0)))</f>
        <v>0</v>
      </c>
      <c r="CV26" s="236">
        <f>IF($C26=0,0,IF(ROUNDDOWN(SUM($C$13:C26)/Espacement_Véhicules+1,0)&gt;NMaxSiègeEquipe*(1+(100-Remplissage_du_brin_descendant)*0.005),NMaxSiègeEquipe*(1+(100-Remplissage_du_brin_descendant)*0.005) +1,ROUNDDOWN(SUM($C$13:C26)/Espacement_Véhicules+1,0)))</f>
        <v>0</v>
      </c>
      <c r="CW26" s="236">
        <f>IF($C26=0,0,IF(ROUNDDOWN(SUM($C$14:C26)/Espacement_Véhicules+1,0)&gt;NMaxSiègeEquipe*(1+(100-Remplissage_du_brin_descendant)*0.005),NMaxSiègeEquipe*(1+(100-Remplissage_du_brin_descendant)*0.005) +1,ROUNDDOWN(SUM($C$14:C26)/Espacement_Véhicules+1,0)))</f>
        <v>0</v>
      </c>
      <c r="CX26" s="236">
        <f>IF($C26=0,0,IF(ROUNDDOWN(SUM($C$15:C26)/Espacement_Véhicules+1,0)&gt;NMaxSiègeEquipe*(1+(100-Remplissage_du_brin_descendant)*0.005),NMaxSiègeEquipe*(1+(100-Remplissage_du_brin_descendant)*0.005) +1,ROUNDDOWN(SUM($C$15:C26)/Espacement_Véhicules+1,0)))</f>
        <v>0</v>
      </c>
      <c r="CY26" s="236">
        <f>IF($C26=0,0,IF(ROUNDDOWN(SUM($C$16:C26)/Espacement_Véhicules+1,0)&gt;NMaxSiègeEquipe*(1+(100-Remplissage_du_brin_descendant)*0.005),NMaxSiègeEquipe*(1+(100-Remplissage_du_brin_descendant)*0.005) +1,ROUNDDOWN(SUM($C$16:C26)/Espacement_Véhicules+1,0)))</f>
        <v>0</v>
      </c>
      <c r="CZ26" s="236">
        <f>IF($C26=0,0,IF(ROUNDDOWN(SUM($C$17:C26)/Espacement_Véhicules+1,0)&gt;NMaxSiègeEquipe*(1+(100-Remplissage_du_brin_descendant)*0.005),NMaxSiègeEquipe*(1+(100-Remplissage_du_brin_descendant)*0.005) +1,ROUNDDOWN(SUM($C$17:C26)/Espacement_Véhicules+1,0)))</f>
        <v>0</v>
      </c>
      <c r="DA26" s="236">
        <f>IF($C26=0,0,IF(ROUNDDOWN(SUM($C$18:C26)/Espacement_Véhicules+1,0)&gt;NMaxSiègeEquipe*(1+(100-Remplissage_du_brin_descendant)*0.005),NMaxSiègeEquipe*(1+(100-Remplissage_du_brin_descendant)*0.005) +1,ROUNDDOWN(SUM($C$18:C26)/Espacement_Véhicules+1,0)))</f>
        <v>0</v>
      </c>
      <c r="DB26" s="236">
        <f>IF($C26=0,0,IF(ROUNDDOWN(SUM($C$19:C26)/Espacement_Véhicules+1,0)&gt;NMaxSiègeEquipe*(1+(100-Remplissage_du_brin_descendant)*0.005),NMaxSiègeEquipe*(1+(100-Remplissage_du_brin_descendant)*0.005) +1,ROUNDDOWN(SUM($C$19:C26)/Espacement_Véhicules+1,0)))</f>
        <v>0</v>
      </c>
      <c r="DC26" s="236">
        <f>IF($C26=0,0,IF(ROUNDDOWN(SUM($C$20:C26)/Espacement_Véhicules+1,0)&gt;NMaxSiègeEquipe*(1+(100-Remplissage_du_brin_descendant)*0.005),NMaxSiègeEquipe*(1+(100-Remplissage_du_brin_descendant)*0.005) +1,ROUNDDOWN(SUM($C$20:C26)/Espacement_Véhicules+1,0)))</f>
        <v>0</v>
      </c>
      <c r="DD26" s="236">
        <f>IF($C26=0,0,IF(ROUNDDOWN(SUM($C$21:C26)/Espacement_Véhicules+1,0)&gt;NMaxSiègeEquipe*(1+(100-Remplissage_du_brin_descendant)*0.005),NMaxSiègeEquipe*(1+(100-Remplissage_du_brin_descendant)*0.005) +1,ROUNDDOWN(SUM($C$21:C26)/Espacement_Véhicules+1,0)))</f>
        <v>0</v>
      </c>
      <c r="DE26" s="236">
        <f>IF($C26=0,0,IF(ROUNDDOWN(SUM($C$22:C26)/Espacement_Véhicules+1,0)&gt;NMaxSiègeEquipe*(1+(100-Remplissage_du_brin_descendant)*0.005),NMaxSiègeEquipe*(1+(100-Remplissage_du_brin_descendant)*0.005) +1,ROUNDDOWN(SUM($C$22:C26)/Espacement_Véhicules+1,0)))</f>
        <v>0</v>
      </c>
      <c r="DF26" s="236">
        <f>IF($C26=0,0,IF(ROUNDDOWN(SUM($C$23:C26)/Espacement_Véhicules+1,0)&gt;NMaxSiègeEquipe*(1+(100-Remplissage_du_brin_descendant)*0.005),NMaxSiègeEquipe*(1+(100-Remplissage_du_brin_descendant)*0.005) +1,ROUNDDOWN(SUM($C$23:C26)/Espacement_Véhicules+1,0)))</f>
        <v>0</v>
      </c>
      <c r="DG26" s="236">
        <f>IF($C26=0,0,IF(ROUNDDOWN(SUM($C$24:C26)/Espacement_Véhicules+1,0)&gt;NMaxSiègeEquipe*(1+(100-Remplissage_du_brin_descendant)*0.005),NMaxSiègeEquipe*(1+(100-Remplissage_du_brin_descendant)*0.005) +1,ROUNDDOWN(SUM($C$24:C26)/Espacement_Véhicules+1,0)))</f>
        <v>0</v>
      </c>
      <c r="DH26" s="236">
        <f>IF($C26=0,0,IF(ROUNDDOWN(SUM($C$25:C26)/Espacement_Véhicules+1,0)&gt;NMaxSiègeEquipe*(1+(100-Remplissage_du_brin_descendant)*0.005),NMaxSiègeEquipe*(1+(100-Remplissage_du_brin_descendant)*0.005) +1,ROUNDDOWN(SUM($C$25:C26)/Espacement_Véhicules+1,0)))</f>
        <v>0</v>
      </c>
      <c r="DI26" s="236">
        <f>IF($C26=0,0,ROUNDDOWN($C26/Espacement_Véhicules+1,0))</f>
        <v>0</v>
      </c>
      <c r="DJ26" s="350"/>
      <c r="DK26" s="350"/>
      <c r="DL26" s="350"/>
      <c r="DM26" s="350"/>
      <c r="DN26" s="350"/>
      <c r="DO26" s="356">
        <f t="shared" si="5"/>
        <v>0</v>
      </c>
      <c r="DP26" s="356">
        <f t="shared" si="12"/>
        <v>0</v>
      </c>
      <c r="DQ26" s="356">
        <f t="shared" si="16"/>
        <v>0</v>
      </c>
      <c r="DR26" s="356">
        <f t="shared" si="20"/>
        <v>0</v>
      </c>
      <c r="DS26" s="356">
        <f t="shared" si="24"/>
        <v>0</v>
      </c>
      <c r="DT26" s="356">
        <f t="shared" si="28"/>
        <v>0</v>
      </c>
      <c r="DU26" s="356">
        <f t="shared" si="32"/>
        <v>0</v>
      </c>
      <c r="DV26" s="356">
        <f t="shared" si="36"/>
        <v>0</v>
      </c>
      <c r="DW26" s="356">
        <f t="shared" si="40"/>
        <v>0</v>
      </c>
      <c r="DX26" s="356">
        <f t="shared" si="44"/>
        <v>0</v>
      </c>
      <c r="DY26" s="356">
        <f t="shared" si="48"/>
        <v>0</v>
      </c>
      <c r="DZ26" s="356">
        <f t="shared" si="52"/>
        <v>0</v>
      </c>
      <c r="EA26" s="356">
        <f t="shared" si="56"/>
        <v>0</v>
      </c>
      <c r="EB26" s="356">
        <f t="shared" si="60"/>
        <v>0</v>
      </c>
      <c r="EC26" s="356">
        <f t="shared" si="64"/>
        <v>0</v>
      </c>
      <c r="ED26" s="356">
        <f t="shared" si="68"/>
        <v>0</v>
      </c>
      <c r="EE26" s="356">
        <f t="shared" si="72"/>
        <v>0</v>
      </c>
      <c r="EF26" s="356">
        <f t="shared" si="76"/>
        <v>0</v>
      </c>
      <c r="EG26" s="356">
        <f t="shared" si="80"/>
        <v>0</v>
      </c>
      <c r="EH26" s="356">
        <f t="shared" ref="EH26:EH31" si="84">IF($C26=0,0,IF(EH25+$F26*(DH26-DH25)*Remplissage_du_brin_descendant/100+$H26&gt;=Durée_maximale_d_évacuation,Durée_maximale_d_évacuation,IF(EH25+$F26*(DH26-DH25)*Remplissage_du_brin_descendant/100+$G26+$F27*(DH27-DH26)*Remplissage_du_brin_descendant/100+$H27&gt;=Durée_maximale_d_évacuation,EH25+$F26*(DH26-DH25)*Remplissage_du_brin_descendant/100+$H26,EH25+$F26*(DH26-DH25)*Remplissage_du_brin_descendant/100+$G26)))</f>
        <v>0</v>
      </c>
      <c r="EI26" s="356">
        <f>IF($C26=0,0,IF($E26+$F26*DI26*Remplissage_du_brin_descendant/100+$G26+($F27-$F26)*DI27*Remplissage_du_brin_descendant/100+$H27&gt;=Durée_maximale_d_évacuation,$E26+$F26*DI26*Remplissage_du_brin_descendant/100+$H26,$E26+$F26*DI26*Remplissage_du_brin_descendant/100+$G26))</f>
        <v>0</v>
      </c>
      <c r="EJ26" s="357"/>
      <c r="EK26" s="357"/>
      <c r="EL26" s="357"/>
      <c r="EM26" s="357"/>
      <c r="EN26" s="357"/>
      <c r="EO26" s="224">
        <f t="shared" si="6"/>
        <v>0</v>
      </c>
      <c r="EP26" s="224">
        <f t="shared" si="13"/>
        <v>0</v>
      </c>
      <c r="EQ26" s="224">
        <f t="shared" si="17"/>
        <v>0</v>
      </c>
      <c r="ER26" s="224">
        <f t="shared" si="21"/>
        <v>0</v>
      </c>
      <c r="ES26" s="224">
        <f t="shared" si="25"/>
        <v>0</v>
      </c>
      <c r="ET26" s="224">
        <f t="shared" si="29"/>
        <v>0</v>
      </c>
      <c r="EU26" s="224">
        <f t="shared" si="33"/>
        <v>0</v>
      </c>
      <c r="EV26" s="224">
        <f t="shared" si="37"/>
        <v>0</v>
      </c>
      <c r="EW26" s="224">
        <f t="shared" si="41"/>
        <v>0</v>
      </c>
      <c r="EX26" s="224">
        <f t="shared" si="45"/>
        <v>0</v>
      </c>
      <c r="EY26" s="224">
        <f t="shared" si="49"/>
        <v>0</v>
      </c>
      <c r="EZ26" s="224">
        <f t="shared" si="53"/>
        <v>0</v>
      </c>
      <c r="FA26" s="224">
        <f t="shared" si="57"/>
        <v>0</v>
      </c>
      <c r="FB26" s="224">
        <f t="shared" si="61"/>
        <v>0</v>
      </c>
      <c r="FC26" s="224">
        <f t="shared" si="65"/>
        <v>0</v>
      </c>
      <c r="FD26" s="224">
        <f t="shared" si="69"/>
        <v>0</v>
      </c>
      <c r="FE26" s="224">
        <f t="shared" si="73"/>
        <v>0</v>
      </c>
      <c r="FF26" s="224">
        <f t="shared" si="77"/>
        <v>0</v>
      </c>
      <c r="FG26" s="224">
        <f t="shared" si="81"/>
        <v>0</v>
      </c>
      <c r="FH26" s="224">
        <f t="shared" ref="FH26:FH31" si="85">IF(OR(FG26=1,FH25=0),0,IF(DH26=0,0,IF(DH26&lt;NMaxSiègeEquipe*(1+(100-Remplissage_du_brin_descendant)*0.005)+1,IF(EH26&lt;Durée_maximale_d_évacuation,1,0),0)))</f>
        <v>0</v>
      </c>
      <c r="FI26" s="224">
        <f>IF(SUM(EO26:FH26)&gt;0,0,IF(DI26=0,0,IF(DI26&lt;NMaxSiègeEquipe*(1+(100-Remplissage_du_brin_descendant)*0.005)+1,IF(EI26&lt;Durée_maximale_d_évacuation,1,0),0)))</f>
        <v>0</v>
      </c>
      <c r="FJ26" s="225"/>
      <c r="FK26" s="225"/>
      <c r="FL26" s="225"/>
      <c r="FM26" s="225"/>
      <c r="FN26" s="225"/>
      <c r="FO26" s="332">
        <f t="shared" si="7"/>
        <v>0</v>
      </c>
      <c r="FP26" s="236">
        <f t="shared" si="8"/>
        <v>0</v>
      </c>
      <c r="FQ26" s="238">
        <f t="shared" si="9"/>
        <v>0</v>
      </c>
      <c r="FR26" s="224">
        <f>IF(Remplissage_du_brin_descendant=0,0,IF(20&gt;NBPylône,"",IF(SUM(EO26:FH26)=1,FR25,FR25+1)))</f>
        <v>0</v>
      </c>
    </row>
    <row r="27" spans="1:174" x14ac:dyDescent="0.2">
      <c r="A27" s="62" t="str">
        <f>'     2-DL     '!C29</f>
        <v/>
      </c>
      <c r="B27" s="65" t="str">
        <f>'     2-DL     '!D29</f>
        <v/>
      </c>
      <c r="C27" s="63">
        <f>IF(B27="",0,'     2-DL     '!E29)</f>
        <v>0</v>
      </c>
      <c r="D27" s="66"/>
      <c r="E27" s="4">
        <f>IF(C27=0,0,'     2-DL     '!F29)</f>
        <v>0</v>
      </c>
      <c r="F27" s="4">
        <f>IF(C27=0,0,IF(S_TempsEvacuationVehicule=1,A_TempsEvacuationVéhicule,'     2-DL     '!H29))</f>
        <v>0</v>
      </c>
      <c r="G27" s="4">
        <f>IF(C27=0,0,IF(S_TempsAccèsPortéeSuivante=1,A_TempsAccèsPortéeSuivante,'     2-DL     '!J29))</f>
        <v>0</v>
      </c>
      <c r="H27" s="4">
        <f>IF(C27=0,0,'     2-DL     '!L29)</f>
        <v>0</v>
      </c>
      <c r="I27" s="66"/>
      <c r="J27" s="236">
        <f>IF($C27=0,0,IF(ROUNDDOWN(SUM($C$6:C27)/Espacement_Véhicules+1,0)&gt;NMaxSiègeEquipe*(1+(100-Remplissage_du_brin_montant)*0.005),NMaxSiègeEquipe*(1+(100-Remplissage_du_brin_montant)*0.005) +1,ROUNDDOWN(SUM($C$6:C27)/Espacement_Véhicules+1,0)))</f>
        <v>0</v>
      </c>
      <c r="K27" s="236">
        <f>IF($C27=0,0,IF(ROUNDDOWN(SUM($C$7:C27)/Espacement_Véhicules+1,0)&gt;NMaxSiègeEquipe*(1+(100-Remplissage_du_brin_montant)*0.005),NMaxSiègeEquipe*(1+(100-Remplissage_du_brin_montant)*0.005) +1,ROUNDDOWN(SUM($C$7:C27)/Espacement_Véhicules+1,0)))</f>
        <v>0</v>
      </c>
      <c r="L27" s="236">
        <f>IF($C27=0,0,IF(ROUNDDOWN(SUM($C$8:C27)/Espacement_Véhicules+1,0)&gt;NMaxSiègeEquipe*(1+(100-Remplissage_du_brin_montant)*0.005),NMaxSiègeEquipe*(1+(100-Remplissage_du_brin_montant)*0.005) +1,ROUNDDOWN(SUM($C$8:C27)/Espacement_Véhicules+1,0)))</f>
        <v>0</v>
      </c>
      <c r="M27" s="236">
        <f>IF($C27=0,0,IF(ROUNDDOWN(SUM($C$9:C27)/Espacement_Véhicules+1,0)&gt;NMaxSiègeEquipe*(1+(100-Remplissage_du_brin_montant)*0.005),NMaxSiègeEquipe*(1+(100-Remplissage_du_brin_montant)*0.005) +1,ROUNDDOWN(SUM($C$9:C27)/Espacement_Véhicules+1,0)))</f>
        <v>0</v>
      </c>
      <c r="N27" s="236">
        <f>IF($C27=0,0,IF(ROUNDDOWN(SUM($C10:$C27)/Espacement_Véhicules+1,0)&gt;NMaxSiègeEquipe*(1+(100-Remplissage_du_brin_montant)*0.005),NMaxSiègeEquipe +1,ROUNDDOWN(SUM($C10:$C27)/Espacement_Véhicules+1,0)))</f>
        <v>0</v>
      </c>
      <c r="O27" s="236">
        <f>IF($C27=0,0,IF(ROUNDDOWN(SUM($C26:C27)/Espacement_Véhicules+1,0)&gt;NMaxSiègeEquipe*(1+(100-Remplissage_du_brin_montant)*0.005),NMaxSiègeEquipe*(1+(100-Remplissage_du_brin_montant)*0.005) +1,ROUNDDOWN(SUM($C$11:C27)/Espacement_Véhicules+1,0)))</f>
        <v>0</v>
      </c>
      <c r="P27" s="236">
        <f>IF($C27=0,0,IF(ROUNDDOWN(SUM($C$12:C27)/Espacement_Véhicules+1,0)&gt;NMaxSiègeEquipe*(1+(100-Remplissage_du_brin_montant)*0.005),NMaxSiègeEquipe*(1+(100-Remplissage_du_brin_montant)*0.005) +1,ROUNDDOWN(SUM($C$12:C27)/Espacement_Véhicules+1,0)))</f>
        <v>0</v>
      </c>
      <c r="Q27" s="236">
        <f>IF($C27=0,0,IF(ROUNDDOWN(SUM($C$13:C27)/Espacement_Véhicules+1,0)&gt;NMaxSiègeEquipe*(1+(100-Remplissage_du_brin_montant)*0.005),NMaxSiègeEquipe*(1+(100-Remplissage_du_brin_montant)*0.005) +1,ROUNDDOWN(SUM($C$13:C27)/Espacement_Véhicules+1,0)))</f>
        <v>0</v>
      </c>
      <c r="R27" s="236">
        <f>IF($C27=0,0,IF(ROUNDDOWN(SUM($C$14:C27)/Espacement_Véhicules+1,0)&gt;NMaxSiègeEquipe*(1+(100-Remplissage_du_brin_montant)*0.005),NMaxSiègeEquipe*(1+(100-Remplissage_du_brin_montant)*0.005) +1,ROUNDDOWN(SUM($C$14:C27)/Espacement_Véhicules+1,0)))</f>
        <v>0</v>
      </c>
      <c r="S27" s="236">
        <f>IF($C27=0,0,IF(ROUNDDOWN(SUM($C$15:C27)/Espacement_Véhicules+1,0)&gt;NMaxSiègeEquipe*(1+(100-Remplissage_du_brin_montant)*0.005),NMaxSiègeEquipe*(1+(100-Remplissage_du_brin_montant)*0.005) +1,ROUNDDOWN(SUM($C$15:C27)/Espacement_Véhicules+1,0)))</f>
        <v>0</v>
      </c>
      <c r="T27" s="236">
        <f>IF($C27=0,0,IF(ROUNDDOWN(SUM($C$16:C27)/Espacement_Véhicules+1,0)&gt;NMaxSiègeEquipe*(1+(100-Remplissage_du_brin_montant)*0.005),NMaxSiègeEquipe*(1+(100-Remplissage_du_brin_montant)*0.005) +1,ROUNDDOWN(SUM($C$16:C27)/Espacement_Véhicules+1,0)))</f>
        <v>0</v>
      </c>
      <c r="U27" s="236">
        <f>IF($C27=0,0,IF(ROUNDDOWN(SUM($C$17:C27)/Espacement_Véhicules+1,0)&gt;NMaxSiègeEquipe*(1+(100-Remplissage_du_brin_montant)*0.005),NMaxSiègeEquipe*(1+(100-Remplissage_du_brin_montant)*0.005) +1,ROUNDDOWN(SUM($C$17:C27)/Espacement_Véhicules+1,0)))</f>
        <v>0</v>
      </c>
      <c r="V27" s="236">
        <f>IF($C27=0,0,IF(ROUNDDOWN(SUM($C$18:C27)/Espacement_Véhicules+1,0)&gt;NMaxSiègeEquipe*(1+(100-Remplissage_du_brin_montant)*0.005),NMaxSiègeEquipe*(1+(100-Remplissage_du_brin_montant)*0.005) +1,ROUNDDOWN(SUM($C$18:C27)/Espacement_Véhicules+1,0)))</f>
        <v>0</v>
      </c>
      <c r="W27" s="236">
        <f>IF($C27=0,0,IF(ROUNDDOWN(SUM($C$19:C27)/Espacement_Véhicules+1,0)&gt;NMaxSiègeEquipe*(1+(100-Remplissage_du_brin_montant)*0.005),NMaxSiègeEquipe*(1+(100-Remplissage_du_brin_montant)*0.005) +1,ROUNDDOWN(SUM($C$19:C27)/Espacement_Véhicules+1,0)))</f>
        <v>0</v>
      </c>
      <c r="X27" s="236">
        <f>IF($C27=0,0,IF(ROUNDDOWN(SUM($C$20:C27)/Espacement_Véhicules+1,0)&gt;NMaxSiègeEquipe*(1+(100-Remplissage_du_brin_montant)*0.005),NMaxSiègeEquipe*(1+(100-Remplissage_du_brin_montant)*0.005) +1,ROUNDDOWN(SUM($C$20:C27)/Espacement_Véhicules+1,0)))</f>
        <v>0</v>
      </c>
      <c r="Y27" s="236">
        <f>IF($C27=0,0,IF(ROUNDDOWN(SUM($C$21:C27)/Espacement_Véhicules+1,0)&gt;NMaxSiègeEquipe*(1+(100-Remplissage_du_brin_montant)*0.005),NMaxSiègeEquipe*(1+(100-Remplissage_du_brin_montant)*0.005) +1,ROUNDDOWN(SUM($C$21:C27)/Espacement_Véhicules+1,0)))</f>
        <v>0</v>
      </c>
      <c r="Z27" s="236">
        <f>IF($C27=0,0,IF(ROUNDDOWN(SUM($C$22:C27)/Espacement_Véhicules+1,0)&gt;NMaxSiègeEquipe*(1+(100-Remplissage_du_brin_montant)*0.005),NMaxSiègeEquipe*(1+(100-Remplissage_du_brin_montant)*0.005) +1,ROUNDDOWN(SUM($C$22:C27)/Espacement_Véhicules+1,0)))</f>
        <v>0</v>
      </c>
      <c r="AA27" s="236">
        <f>IF($C27=0,0,IF(ROUNDDOWN(SUM($C$23:C27)/Espacement_Véhicules+1,0)&gt;NMaxSiègeEquipe*(1+(100-Remplissage_du_brin_montant)*0.005),NMaxSiègeEquipe*(1+(100-Remplissage_du_brin_montant)*0.005) +1,ROUNDDOWN(SUM($C$23:C27)/Espacement_Véhicules+1,0)))</f>
        <v>0</v>
      </c>
      <c r="AB27" s="236">
        <f>IF($C27=0,0,IF(ROUNDDOWN(SUM($C$24:C27)/Espacement_Véhicules+1,0)&gt;NMaxSiègeEquipe*(1+(100-Remplissage_du_brin_montant)*0.005),NMaxSiègeEquipe*(1+(100-Remplissage_du_brin_montant)*0.005)+1,ROUNDDOWN(SUM($C$24:C27)/Espacement_Véhicules+1,0)))</f>
        <v>0</v>
      </c>
      <c r="AC27" s="236">
        <f>IF($C27=0,0,IF(ROUNDDOWN(SUM($C$25:C27)/Espacement_Véhicules+1,0)&gt;NMaxSiègeEquipe*(1+(100-Remplissage_du_brin_montant)*0.005),NMaxSiègeEquipe*(1+(100-Remplissage_du_brin_montant)*0.005) +1,ROUNDDOWN(SUM($C$25:C27)/Espacement_Véhicules+1,0)))</f>
        <v>0</v>
      </c>
      <c r="AD27" s="236">
        <f>IF($C27=0,0,IF(ROUNDDOWN(SUM($C$26:C27)/Espacement_Véhicules+1,0)&gt;NMaxSiègeEquipe*(1+(100-Remplissage_du_brin_montant)*0.005),NMaxSiègeEquipe*(1+(100-Remplissage_du_brin_montant)*0.005) +1,ROUNDDOWN(SUM($C$26:C27)/Espacement_Véhicules+1,0)))</f>
        <v>0</v>
      </c>
      <c r="AE27" s="236">
        <f>IF($C27=0,0,ROUNDDOWN($C27/Espacement_Véhicules+1,0))</f>
        <v>0</v>
      </c>
      <c r="AF27" s="350"/>
      <c r="AG27" s="350"/>
      <c r="AH27" s="350"/>
      <c r="AI27" s="350"/>
      <c r="AJ27" s="356">
        <f t="shared" si="0"/>
        <v>0</v>
      </c>
      <c r="AK27" s="356">
        <f t="shared" si="10"/>
        <v>0</v>
      </c>
      <c r="AL27" s="356">
        <f t="shared" si="14"/>
        <v>0</v>
      </c>
      <c r="AM27" s="356">
        <f t="shared" si="18"/>
        <v>0</v>
      </c>
      <c r="AN27" s="356">
        <f t="shared" si="22"/>
        <v>0</v>
      </c>
      <c r="AO27" s="356">
        <f t="shared" si="26"/>
        <v>0</v>
      </c>
      <c r="AP27" s="356">
        <f t="shared" si="30"/>
        <v>0</v>
      </c>
      <c r="AQ27" s="356">
        <f t="shared" si="34"/>
        <v>0</v>
      </c>
      <c r="AR27" s="356">
        <f t="shared" si="38"/>
        <v>0</v>
      </c>
      <c r="AS27" s="356">
        <f t="shared" si="42"/>
        <v>0</v>
      </c>
      <c r="AT27" s="356">
        <f t="shared" si="46"/>
        <v>0</v>
      </c>
      <c r="AU27" s="356">
        <f t="shared" si="50"/>
        <v>0</v>
      </c>
      <c r="AV27" s="356">
        <f t="shared" si="54"/>
        <v>0</v>
      </c>
      <c r="AW27" s="356">
        <f t="shared" si="58"/>
        <v>0</v>
      </c>
      <c r="AX27" s="356">
        <f t="shared" si="62"/>
        <v>0</v>
      </c>
      <c r="AY27" s="356">
        <f t="shared" si="66"/>
        <v>0</v>
      </c>
      <c r="AZ27" s="356">
        <f t="shared" si="70"/>
        <v>0</v>
      </c>
      <c r="BA27" s="356">
        <f t="shared" si="74"/>
        <v>0</v>
      </c>
      <c r="BB27" s="356">
        <f t="shared" si="78"/>
        <v>0</v>
      </c>
      <c r="BC27" s="356">
        <f t="shared" si="82"/>
        <v>0</v>
      </c>
      <c r="BD27" s="356">
        <f>IF($C27=0,0,IF(BD26+$F27*(AD27-AD26)*Remplissage_du_brin_montant/100+$H27&gt;=Durée_maximale_d_évacuation,Durée_maximale_d_évacuation,IF(BD26+$F27*(AD27-AD26)*Remplissage_du_brin_montant/100+$G27+$F28*(AD28-AD27)*Remplissage_du_brin_montant/100+$H28&gt;=Durée_maximale_d_évacuation,BD26+$F27*(AD27-AD26)*Remplissage_du_brin_montant/100+$H27,BD26+$F27*(AD27-AD26)*Remplissage_du_brin_montant/100+$G27)))</f>
        <v>0</v>
      </c>
      <c r="BE27" s="356">
        <f>IF($C27=0,0,IF($E27+$F27*AE27*Remplissage_du_brin_montant/100+$G27+($F28-$F27)*AE28*Remplissage_du_brin_montant/100+$H28&gt;=Durée_maximale_d_évacuation,$E27+$F27*AE27*Remplissage_du_brin_montant/100+$H27,$E27+$F27*AE27*Remplissage_du_brin_montant/100+$G27))</f>
        <v>0</v>
      </c>
      <c r="BF27" s="357"/>
      <c r="BG27" s="357"/>
      <c r="BH27" s="357"/>
      <c r="BI27" s="357"/>
      <c r="BJ27" s="224">
        <f t="shared" si="1"/>
        <v>0</v>
      </c>
      <c r="BK27" s="224">
        <f t="shared" si="11"/>
        <v>0</v>
      </c>
      <c r="BL27" s="224">
        <f t="shared" si="15"/>
        <v>0</v>
      </c>
      <c r="BM27" s="224">
        <f t="shared" si="19"/>
        <v>0</v>
      </c>
      <c r="BN27" s="224">
        <f t="shared" si="23"/>
        <v>0</v>
      </c>
      <c r="BO27" s="224">
        <f t="shared" si="27"/>
        <v>0</v>
      </c>
      <c r="BP27" s="224">
        <f t="shared" si="31"/>
        <v>0</v>
      </c>
      <c r="BQ27" s="224">
        <f t="shared" si="35"/>
        <v>0</v>
      </c>
      <c r="BR27" s="224">
        <f t="shared" si="39"/>
        <v>0</v>
      </c>
      <c r="BS27" s="224">
        <f t="shared" si="43"/>
        <v>0</v>
      </c>
      <c r="BT27" s="224">
        <f t="shared" si="47"/>
        <v>0</v>
      </c>
      <c r="BU27" s="224">
        <f t="shared" si="51"/>
        <v>0</v>
      </c>
      <c r="BV27" s="224">
        <f t="shared" si="55"/>
        <v>0</v>
      </c>
      <c r="BW27" s="224">
        <f t="shared" si="59"/>
        <v>0</v>
      </c>
      <c r="BX27" s="224">
        <f t="shared" si="63"/>
        <v>0</v>
      </c>
      <c r="BY27" s="224">
        <f t="shared" si="67"/>
        <v>0</v>
      </c>
      <c r="BZ27" s="224">
        <f t="shared" si="71"/>
        <v>0</v>
      </c>
      <c r="CA27" s="224">
        <f t="shared" si="75"/>
        <v>0</v>
      </c>
      <c r="CB27" s="224">
        <f t="shared" si="79"/>
        <v>0</v>
      </c>
      <c r="CC27" s="224">
        <f t="shared" si="83"/>
        <v>0</v>
      </c>
      <c r="CD27" s="224">
        <f>IF(OR(CC27=1,CD26=0),0,IF(AD27=0,0,IF(AD27&lt;NMaxSiègeEquipe*(1+(100-Remplissage_du_brin_montant)*0.005)+1,IF(BD27&lt;Durée_maximale_d_évacuation,1,0),0)))</f>
        <v>0</v>
      </c>
      <c r="CE27" s="224">
        <f>IF(SUM(BJ27:CD27)&gt;0,0,IF(AE27=0,0,IF(AE27&lt;NMaxSiègeEquipe*(1+(100-Remplissage_du_brin_montant)*0.005)+1,IF(BE27&lt;Durée_maximale_d_évacuation,1,0),0)))</f>
        <v>0</v>
      </c>
      <c r="CF27" s="225"/>
      <c r="CG27" s="225"/>
      <c r="CH27" s="225"/>
      <c r="CI27" s="225"/>
      <c r="CJ27" s="332">
        <f t="shared" si="2"/>
        <v>0</v>
      </c>
      <c r="CK27" s="236">
        <f t="shared" si="3"/>
        <v>0</v>
      </c>
      <c r="CL27" s="238">
        <f t="shared" si="4"/>
        <v>0</v>
      </c>
      <c r="CM27" s="224">
        <f>IF(Remplissage_du_brin_montant=0,0,IF(21&gt;NBPylône,"",IF(SUM(BJ27:CD27)=1,CM26,CM26+1)))</f>
        <v>0</v>
      </c>
      <c r="CN27" s="17"/>
      <c r="CO27" s="236">
        <f>IF(C27=0,0,IF(ROUNDDOWN(SUM($C$6:C27)/Espacement_Véhicules+1,0)&gt;NMaxSiègeEquipe*(1+(100-Remplissage_du_brin_descendant)*0.005),NMaxSiègeEquipe*(1+(100-Remplissage_du_brin_descendant)*0.005) +1,ROUNDDOWN(SUM($C$6:C27)/Espacement_Véhicules+1,0)))</f>
        <v>0</v>
      </c>
      <c r="CP27" s="236">
        <f>IF($C27=0,0,IF(ROUNDDOWN(SUM($C$7:C27)/Espacement_Véhicules+1,0)&gt;NMaxSiègeEquipe*(1+(100-Remplissage_du_brin_descendant)*0.005),NMaxSiègeEquipe*(1+(100-Remplissage_du_brin_descendant)*0.005) +1,ROUNDDOWN(SUM($C$7:C27)/Espacement_Véhicules+1,0)))</f>
        <v>0</v>
      </c>
      <c r="CQ27" s="236">
        <f>IF($C27=0,0,IF(ROUNDDOWN(SUM($C$8:C27)/Espacement_Véhicules+1,0)&gt;NMaxSiègeEquipe*(1+(100-Remplissage_du_brin_descendant)*0.005),NMaxSiègeEquipe*(1+(100-Remplissage_du_brin_descendant)*0.005) +1,ROUNDDOWN(SUM($C$8:C27)/Espacement_Véhicules+1,0)))</f>
        <v>0</v>
      </c>
      <c r="CR27" s="236">
        <f>IF($C27=0,0,IF(ROUNDDOWN(SUM($C$9:C27)/Espacement_Véhicules+1,0)&gt;NMaxSiègeEquipe*(1+(100-Remplissage_du_brin_descendant)*0.005),NMaxSiègeEquipe*(1+(100-Remplissage_du_brin_descendant)*0.005) +1,ROUNDDOWN(SUM($C$9:C27)/Espacement_Véhicules+1,0)))</f>
        <v>0</v>
      </c>
      <c r="CS27" s="236">
        <f>IF($C27=0,0,IF(ROUNDDOWN(SUM($C$10:C27)/Espacement_Véhicules+1,0)&gt;NMaxSiègeEquipe*(1+(100-Remplissage_du_brin_descendant)*0.005),NMaxSiègeEquipe*(1+(100-Remplissage_du_brin_descendant)*0.005) +1,ROUNDDOWN(SUM($C$10:C27)/Espacement_Véhicules+1,0)))</f>
        <v>0</v>
      </c>
      <c r="CT27" s="236">
        <f>IF($C27=0,0,IF(ROUNDDOWN(SUM($C$11:C27)/Espacement_Véhicules+1,0)&gt;NMaxSiègeEquipe*(1+(100-Remplissage_du_brin_descendant)*0.005),NMaxSiègeEquipe*(1+(100-Remplissage_du_brin_descendant)*0.005) +1,ROUNDDOWN(SUM($C$11:C27)/Espacement_Véhicules+1,0)))</f>
        <v>0</v>
      </c>
      <c r="CU27" s="236">
        <f>IF($C27=0,0,IF(ROUNDDOWN(SUM($C$12:C27)/Espacement_Véhicules+1,0)&gt;NMaxSiègeEquipe*(1+(100-Remplissage_du_brin_descendant)*0.005),NMaxSiègeEquipe*(1+(100-Remplissage_du_brin_descendant)*0.005) +1,ROUNDDOWN(SUM($C$12:C27)/Espacement_Véhicules+1,0)))</f>
        <v>0</v>
      </c>
      <c r="CV27" s="236">
        <f>IF($C27=0,0,IF(ROUNDDOWN(SUM($C$13:C27)/Espacement_Véhicules+1,0)&gt;NMaxSiègeEquipe*(1+(100-Remplissage_du_brin_descendant)*0.005),NMaxSiègeEquipe*(1+(100-Remplissage_du_brin_descendant)*0.005) +1,ROUNDDOWN(SUM($C$13:C27)/Espacement_Véhicules+1,0)))</f>
        <v>0</v>
      </c>
      <c r="CW27" s="236">
        <f>IF($C27=0,0,IF(ROUNDDOWN(SUM($C$14:C27)/Espacement_Véhicules+1,0)&gt;NMaxSiègeEquipe*(1+(100-Remplissage_du_brin_descendant)*0.005),NMaxSiègeEquipe*(1+(100-Remplissage_du_brin_descendant)*0.005) +1,ROUNDDOWN(SUM($C$14:C27)/Espacement_Véhicules+1,0)))</f>
        <v>0</v>
      </c>
      <c r="CX27" s="236">
        <f>IF($C27=0,0,IF(ROUNDDOWN(SUM($C$15:C27)/Espacement_Véhicules+1,0)&gt;NMaxSiègeEquipe*(1+(100-Remplissage_du_brin_descendant)*0.005),NMaxSiègeEquipe*(1+(100-Remplissage_du_brin_descendant)*0.005) +1,ROUNDDOWN(SUM($C$15:C27)/Espacement_Véhicules+1,0)))</f>
        <v>0</v>
      </c>
      <c r="CY27" s="236">
        <f>IF($C27=0,0,IF(ROUNDDOWN(SUM($C$16:C27)/Espacement_Véhicules+1,0)&gt;NMaxSiègeEquipe*(1+(100-Remplissage_du_brin_descendant)*0.005),NMaxSiègeEquipe*(1+(100-Remplissage_du_brin_descendant)*0.005) +1,ROUNDDOWN(SUM($C$16:C27)/Espacement_Véhicules+1,0)))</f>
        <v>0</v>
      </c>
      <c r="CZ27" s="236">
        <f>IF($C27=0,0,IF(ROUNDDOWN(SUM($C$17:C27)/Espacement_Véhicules+1,0)&gt;NMaxSiègeEquipe*(1+(100-Remplissage_du_brin_descendant)*0.005),NMaxSiègeEquipe*(1+(100-Remplissage_du_brin_descendant)*0.005) +1,ROUNDDOWN(SUM($C$17:C27)/Espacement_Véhicules+1,0)))</f>
        <v>0</v>
      </c>
      <c r="DA27" s="236">
        <f>IF($C27=0,0,IF(ROUNDDOWN(SUM($C$18:C27)/Espacement_Véhicules+1,0)&gt;NMaxSiègeEquipe*(1+(100-Remplissage_du_brin_descendant)*0.005),NMaxSiègeEquipe*(1+(100-Remplissage_du_brin_descendant)*0.005) +1,ROUNDDOWN(SUM($C$18:C27)/Espacement_Véhicules+1,0)))</f>
        <v>0</v>
      </c>
      <c r="DB27" s="236">
        <f>IF($C27=0,0,IF(ROUNDDOWN(SUM($C$19:C27)/Espacement_Véhicules+1,0)&gt;NMaxSiègeEquipe*(1+(100-Remplissage_du_brin_descendant)*0.005),NMaxSiègeEquipe*(1+(100-Remplissage_du_brin_descendant)*0.005) +1,ROUNDDOWN(SUM($C$19:C27)/Espacement_Véhicules+1,0)))</f>
        <v>0</v>
      </c>
      <c r="DC27" s="236">
        <f>IF($C27=0,0,IF(ROUNDDOWN(SUM($C$20:C27)/Espacement_Véhicules+1,0)&gt;NMaxSiègeEquipe*(1+(100-Remplissage_du_brin_descendant)*0.005),NMaxSiègeEquipe*(1+(100-Remplissage_du_brin_descendant)*0.005) +1,ROUNDDOWN(SUM($C$20:C27)/Espacement_Véhicules+1,0)))</f>
        <v>0</v>
      </c>
      <c r="DD27" s="236">
        <f>IF($C27=0,0,IF(ROUNDDOWN(SUM($C$21:C27)/Espacement_Véhicules+1,0)&gt;NMaxSiègeEquipe*(1+(100-Remplissage_du_brin_descendant)*0.005),NMaxSiègeEquipe*(1+(100-Remplissage_du_brin_descendant)*0.005) +1,ROUNDDOWN(SUM($C$21:C27)/Espacement_Véhicules+1,0)))</f>
        <v>0</v>
      </c>
      <c r="DE27" s="236">
        <f>IF($C27=0,0,IF(ROUNDDOWN(SUM($C$22:C27)/Espacement_Véhicules+1,0)&gt;NMaxSiègeEquipe*(1+(100-Remplissage_du_brin_descendant)*0.005),NMaxSiègeEquipe*(1+(100-Remplissage_du_brin_descendant)*0.005) +1,ROUNDDOWN(SUM($C$22:C27)/Espacement_Véhicules+1,0)))</f>
        <v>0</v>
      </c>
      <c r="DF27" s="236">
        <f>IF($C27=0,0,IF(ROUNDDOWN(SUM($C$23:C27)/Espacement_Véhicules+1,0)&gt;NMaxSiègeEquipe*(1+(100-Remplissage_du_brin_descendant)*0.005),NMaxSiègeEquipe*(1+(100-Remplissage_du_brin_descendant)*0.005) +1,ROUNDDOWN(SUM($C$23:C27)/Espacement_Véhicules+1,0)))</f>
        <v>0</v>
      </c>
      <c r="DG27" s="236">
        <f>IF($C27=0,0,IF(ROUNDDOWN(SUM($C$24:C27)/Espacement_Véhicules+1,0)&gt;NMaxSiègeEquipe*(1+(100-Remplissage_du_brin_descendant)*0.005),NMaxSiègeEquipe*(1+(100-Remplissage_du_brin_descendant)*0.005) +1,ROUNDDOWN(SUM($C$24:C27)/Espacement_Véhicules+1,0)))</f>
        <v>0</v>
      </c>
      <c r="DH27" s="236">
        <f>IF($C27=0,0,IF(ROUNDDOWN(SUM($C$25:C27)/Espacement_Véhicules+1,0)&gt;NMaxSiègeEquipe*(1+(100-Remplissage_du_brin_descendant)*0.005),NMaxSiègeEquipe*(1+(100-Remplissage_du_brin_descendant)*0.005) +1,ROUNDDOWN(SUM($C$25:C27)/Espacement_Véhicules+1,0)))</f>
        <v>0</v>
      </c>
      <c r="DI27" s="236">
        <f>IF($C27=0,0,IF(ROUNDDOWN(SUM($C$26:C27)/Espacement_Véhicules+1,0)&gt;NMaxSiègeEquipe*(1+(100-Remplissage_du_brin_descendant)*0.005),NMaxSiègeEquipe*(1+(100-Remplissage_du_brin_descendant)*0.005) +1,ROUNDDOWN(SUM($C$26:C27)/Espacement_Véhicules+1,0)))</f>
        <v>0</v>
      </c>
      <c r="DJ27" s="236">
        <f>IF($C27=0,0,ROUNDDOWN($C27/Espacement_Véhicules+1,0))</f>
        <v>0</v>
      </c>
      <c r="DK27" s="350"/>
      <c r="DL27" s="350"/>
      <c r="DM27" s="350"/>
      <c r="DN27" s="350"/>
      <c r="DO27" s="356">
        <f t="shared" si="5"/>
        <v>0</v>
      </c>
      <c r="DP27" s="356">
        <f t="shared" si="12"/>
        <v>0</v>
      </c>
      <c r="DQ27" s="356">
        <f t="shared" si="16"/>
        <v>0</v>
      </c>
      <c r="DR27" s="356">
        <f t="shared" si="20"/>
        <v>0</v>
      </c>
      <c r="DS27" s="356">
        <f t="shared" si="24"/>
        <v>0</v>
      </c>
      <c r="DT27" s="356">
        <f t="shared" si="28"/>
        <v>0</v>
      </c>
      <c r="DU27" s="356">
        <f t="shared" si="32"/>
        <v>0</v>
      </c>
      <c r="DV27" s="356">
        <f t="shared" si="36"/>
        <v>0</v>
      </c>
      <c r="DW27" s="356">
        <f t="shared" si="40"/>
        <v>0</v>
      </c>
      <c r="DX27" s="356">
        <f t="shared" si="44"/>
        <v>0</v>
      </c>
      <c r="DY27" s="356">
        <f t="shared" si="48"/>
        <v>0</v>
      </c>
      <c r="DZ27" s="356">
        <f t="shared" si="52"/>
        <v>0</v>
      </c>
      <c r="EA27" s="356">
        <f t="shared" si="56"/>
        <v>0</v>
      </c>
      <c r="EB27" s="356">
        <f t="shared" si="60"/>
        <v>0</v>
      </c>
      <c r="EC27" s="356">
        <f t="shared" si="64"/>
        <v>0</v>
      </c>
      <c r="ED27" s="356">
        <f t="shared" si="68"/>
        <v>0</v>
      </c>
      <c r="EE27" s="356">
        <f t="shared" si="72"/>
        <v>0</v>
      </c>
      <c r="EF27" s="356">
        <f t="shared" si="76"/>
        <v>0</v>
      </c>
      <c r="EG27" s="356">
        <f t="shared" si="80"/>
        <v>0</v>
      </c>
      <c r="EH27" s="356">
        <f t="shared" si="84"/>
        <v>0</v>
      </c>
      <c r="EI27" s="356">
        <f>IF($C27=0,0,IF(EI26+$F27*(DI27-DI26)*Remplissage_du_brin_descendant/100+$H27&gt;=Durée_maximale_d_évacuation,Durée_maximale_d_évacuation,IF(EI26+$F27*(DI27-DI26)*Remplissage_du_brin_descendant/100+$G27+$F28*(DI28-DI27)*Remplissage_du_brin_descendant/100+$H28&gt;=Durée_maximale_d_évacuation,EI26+$F27*(DI27-DI26)*Remplissage_du_brin_descendant/100+$H27,EI26+$F27*(DI27-DI26)*Remplissage_du_brin_descendant/100+$G27)))</f>
        <v>0</v>
      </c>
      <c r="EJ27" s="356">
        <f>IF($C27=0,0,IF($E27+$F27*DJ27*Remplissage_du_brin_descendant/100+$G27+($F28-$F27)*DJ28*Remplissage_du_brin_descendant/100+$H28&gt;=Durée_maximale_d_évacuation,$E27+$F27*DJ27*Remplissage_du_brin_descendant/100+$H27,$E27+$F27*DJ27*Remplissage_du_brin_descendant/100+$G27))</f>
        <v>0</v>
      </c>
      <c r="EK27" s="357"/>
      <c r="EL27" s="357"/>
      <c r="EM27" s="357"/>
      <c r="EN27" s="357"/>
      <c r="EO27" s="224">
        <f t="shared" si="6"/>
        <v>0</v>
      </c>
      <c r="EP27" s="224">
        <f t="shared" si="13"/>
        <v>0</v>
      </c>
      <c r="EQ27" s="224">
        <f t="shared" si="17"/>
        <v>0</v>
      </c>
      <c r="ER27" s="224">
        <f t="shared" si="21"/>
        <v>0</v>
      </c>
      <c r="ES27" s="224">
        <f t="shared" si="25"/>
        <v>0</v>
      </c>
      <c r="ET27" s="224">
        <f t="shared" si="29"/>
        <v>0</v>
      </c>
      <c r="EU27" s="224">
        <f t="shared" si="33"/>
        <v>0</v>
      </c>
      <c r="EV27" s="224">
        <f t="shared" si="37"/>
        <v>0</v>
      </c>
      <c r="EW27" s="224">
        <f t="shared" si="41"/>
        <v>0</v>
      </c>
      <c r="EX27" s="224">
        <f t="shared" si="45"/>
        <v>0</v>
      </c>
      <c r="EY27" s="224">
        <f t="shared" si="49"/>
        <v>0</v>
      </c>
      <c r="EZ27" s="224">
        <f t="shared" si="53"/>
        <v>0</v>
      </c>
      <c r="FA27" s="224">
        <f t="shared" si="57"/>
        <v>0</v>
      </c>
      <c r="FB27" s="224">
        <f t="shared" si="61"/>
        <v>0</v>
      </c>
      <c r="FC27" s="224">
        <f t="shared" si="65"/>
        <v>0</v>
      </c>
      <c r="FD27" s="224">
        <f t="shared" si="69"/>
        <v>0</v>
      </c>
      <c r="FE27" s="224">
        <f t="shared" si="73"/>
        <v>0</v>
      </c>
      <c r="FF27" s="224">
        <f t="shared" si="77"/>
        <v>0</v>
      </c>
      <c r="FG27" s="224">
        <f t="shared" si="81"/>
        <v>0</v>
      </c>
      <c r="FH27" s="224">
        <f t="shared" si="85"/>
        <v>0</v>
      </c>
      <c r="FI27" s="224">
        <f>IF(OR(FH27=1,FI26=0),0,IF(DI27=0,0,IF(DI27&lt;NMaxSiègeEquipe*(1+(100-Remplissage_du_brin_descendant)*0.005)+1,IF(EI27&lt;Durée_maximale_d_évacuation,1,0),0)))</f>
        <v>0</v>
      </c>
      <c r="FJ27" s="224">
        <f>IF(SUM(EO27:FI27)&gt;0,0,IF(DJ27=0,0,IF(DJ27&lt;NMaxSiègeEquipe*(1+(100-Remplissage_du_brin_descendant)*0.005)+1,IF(EJ27&lt;Durée_maximale_d_évacuation,1,0),0)))</f>
        <v>0</v>
      </c>
      <c r="FK27" s="225"/>
      <c r="FL27" s="225"/>
      <c r="FM27" s="225"/>
      <c r="FN27" s="225"/>
      <c r="FO27" s="332">
        <f t="shared" si="7"/>
        <v>0</v>
      </c>
      <c r="FP27" s="236">
        <f t="shared" si="8"/>
        <v>0</v>
      </c>
      <c r="FQ27" s="238">
        <f t="shared" si="9"/>
        <v>0</v>
      </c>
      <c r="FR27" s="224">
        <f>IF(Remplissage_du_brin_descendant=0,0,IF(21&gt;NBPylône,"",IF(SUM(EO27:FI27)=1,FR26,FR26+1)))</f>
        <v>0</v>
      </c>
    </row>
    <row r="28" spans="1:174" x14ac:dyDescent="0.2">
      <c r="A28" s="62" t="str">
        <f>'     2-DL     '!C30</f>
        <v/>
      </c>
      <c r="B28" s="65" t="str">
        <f>'     2-DL     '!D30</f>
        <v/>
      </c>
      <c r="C28" s="63">
        <f>IF(B28="",0,'     2-DL     '!E30)</f>
        <v>0</v>
      </c>
      <c r="D28" s="66"/>
      <c r="E28" s="4">
        <f>IF(C28=0,0,'     2-DL     '!F30)</f>
        <v>0</v>
      </c>
      <c r="F28" s="4">
        <f>IF(C28=0,0,IF(S_TempsEvacuationVehicule=1,A_TempsEvacuationVéhicule,'     2-DL     '!H30))</f>
        <v>0</v>
      </c>
      <c r="G28" s="4">
        <f>IF(C28=0,0,IF(S_TempsAccèsPortéeSuivante=1,A_TempsAccèsPortéeSuivante,'     2-DL     '!J30))</f>
        <v>0</v>
      </c>
      <c r="H28" s="4">
        <f>IF(C28=0,0,'     2-DL     '!L30)</f>
        <v>0</v>
      </c>
      <c r="I28" s="66"/>
      <c r="J28" s="236">
        <f>IF($C28=0,0,IF(ROUNDDOWN(SUM($C$6:C28)/Espacement_Véhicules+1,0)&gt;NMaxSiègeEquipe*(1+(100-Remplissage_du_brin_montant)*0.005),NMaxSiègeEquipe*(1+(100-Remplissage_du_brin_montant)*0.005) +1,ROUNDDOWN(SUM($C$6:C28)/Espacement_Véhicules+1,0)))</f>
        <v>0</v>
      </c>
      <c r="K28" s="236">
        <f>IF($C28=0,0,IF(ROUNDDOWN(SUM($C$7:C28)/Espacement_Véhicules+1,0)&gt;NMaxSiègeEquipe*(1+(100-Remplissage_du_brin_montant)*0.005),NMaxSiègeEquipe*(1+(100-Remplissage_du_brin_montant)*0.005) +1,ROUNDDOWN(SUM($C$7:C28)/Espacement_Véhicules+1,0)))</f>
        <v>0</v>
      </c>
      <c r="L28" s="236">
        <f>IF($C28=0,0,IF(ROUNDDOWN(SUM($C$8:C28)/Espacement_Véhicules+1,0)&gt;NMaxSiègeEquipe*(1+(100-Remplissage_du_brin_montant)*0.005),NMaxSiègeEquipe*(1+(100-Remplissage_du_brin_montant)*0.005) +1,ROUNDDOWN(SUM($C$8:C28)/Espacement_Véhicules+1,0)))</f>
        <v>0</v>
      </c>
      <c r="M28" s="236">
        <f>IF($C28=0,0,IF(ROUNDDOWN(SUM($C$9:C28)/Espacement_Véhicules+1,0)&gt;NMaxSiègeEquipe*(1+(100-Remplissage_du_brin_montant)*0.005),NMaxSiègeEquipe*(1+(100-Remplissage_du_brin_montant)*0.005) +1,ROUNDDOWN(SUM($C$9:C28)/Espacement_Véhicules+1,0)))</f>
        <v>0</v>
      </c>
      <c r="N28" s="236">
        <f>IF($C28=0,0,IF(ROUNDDOWN(SUM($C10:$C28)/Espacement_Véhicules+1,0)&gt;NMaxSiègeEquipe*(1+(100-Remplissage_du_brin_montant)*0.005),NMaxSiègeEquipe +1,ROUNDDOWN(SUM($C10:$C28)/Espacement_Véhicules+1,0)))</f>
        <v>0</v>
      </c>
      <c r="O28" s="236">
        <f>IF($C28=0,0,IF(ROUNDDOWN(SUM($C27:C28)/Espacement_Véhicules+1,0)&gt;NMaxSiègeEquipe*(1+(100-Remplissage_du_brin_montant)*0.005),NMaxSiègeEquipe*(1+(100-Remplissage_du_brin_montant)*0.005) +1,ROUNDDOWN(SUM($C$11:C28)/Espacement_Véhicules+1,0)))</f>
        <v>0</v>
      </c>
      <c r="P28" s="236">
        <f>IF($C28=0,0,IF(ROUNDDOWN(SUM($C$12:C28)/Espacement_Véhicules+1,0)&gt;NMaxSiègeEquipe*(1+(100-Remplissage_du_brin_montant)*0.005),NMaxSiègeEquipe*(1+(100-Remplissage_du_brin_montant)*0.005) +1,ROUNDDOWN(SUM($C$12:C28)/Espacement_Véhicules+1,0)))</f>
        <v>0</v>
      </c>
      <c r="Q28" s="236">
        <f>IF($C28=0,0,IF(ROUNDDOWN(SUM($C$13:C28)/Espacement_Véhicules+1,0)&gt;NMaxSiègeEquipe*(1+(100-Remplissage_du_brin_montant)*0.005),NMaxSiègeEquipe*(1+(100-Remplissage_du_brin_montant)*0.005) +1,ROUNDDOWN(SUM($C$13:C28)/Espacement_Véhicules+1,0)))</f>
        <v>0</v>
      </c>
      <c r="R28" s="236">
        <f>IF($C28=0,0,IF(ROUNDDOWN(SUM($C$14:C28)/Espacement_Véhicules+1,0)&gt;NMaxSiègeEquipe*(1+(100-Remplissage_du_brin_montant)*0.005),NMaxSiègeEquipe*(1+(100-Remplissage_du_brin_montant)*0.005) +1,ROUNDDOWN(SUM($C$14:C28)/Espacement_Véhicules+1,0)))</f>
        <v>0</v>
      </c>
      <c r="S28" s="236">
        <f>IF($C28=0,0,IF(ROUNDDOWN(SUM($C$15:C28)/Espacement_Véhicules+1,0)&gt;NMaxSiègeEquipe*(1+(100-Remplissage_du_brin_montant)*0.005),NMaxSiègeEquipe*(1+(100-Remplissage_du_brin_montant)*0.005) +1,ROUNDDOWN(SUM($C$15:C28)/Espacement_Véhicules+1,0)))</f>
        <v>0</v>
      </c>
      <c r="T28" s="236">
        <f>IF($C28=0,0,IF(ROUNDDOWN(SUM($C$16:C28)/Espacement_Véhicules+1,0)&gt;NMaxSiègeEquipe*(1+(100-Remplissage_du_brin_montant)*0.005),NMaxSiègeEquipe*(1+(100-Remplissage_du_brin_montant)*0.005) +1,ROUNDDOWN(SUM($C$16:C28)/Espacement_Véhicules+1,0)))</f>
        <v>0</v>
      </c>
      <c r="U28" s="236">
        <f>IF($C28=0,0,IF(ROUNDDOWN(SUM($C$17:C28)/Espacement_Véhicules+1,0)&gt;NMaxSiègeEquipe*(1+(100-Remplissage_du_brin_montant)*0.005),NMaxSiègeEquipe*(1+(100-Remplissage_du_brin_montant)*0.005) +1,ROUNDDOWN(SUM($C$17:C28)/Espacement_Véhicules+1,0)))</f>
        <v>0</v>
      </c>
      <c r="V28" s="236">
        <f>IF($C28=0,0,IF(ROUNDDOWN(SUM($C$18:C28)/Espacement_Véhicules+1,0)&gt;NMaxSiègeEquipe*(1+(100-Remplissage_du_brin_montant)*0.005),NMaxSiègeEquipe*(1+(100-Remplissage_du_brin_montant)*0.005) +1,ROUNDDOWN(SUM($C$18:C28)/Espacement_Véhicules+1,0)))</f>
        <v>0</v>
      </c>
      <c r="W28" s="236">
        <f>IF($C28=0,0,IF(ROUNDDOWN(SUM($C$19:C28)/Espacement_Véhicules+1,0)&gt;NMaxSiègeEquipe*(1+(100-Remplissage_du_brin_montant)*0.005),NMaxSiègeEquipe*(1+(100-Remplissage_du_brin_montant)*0.005) +1,ROUNDDOWN(SUM($C$19:C28)/Espacement_Véhicules+1,0)))</f>
        <v>0</v>
      </c>
      <c r="X28" s="236">
        <f>IF($C28=0,0,IF(ROUNDDOWN(SUM($C$20:C28)/Espacement_Véhicules+1,0)&gt;NMaxSiègeEquipe*(1+(100-Remplissage_du_brin_montant)*0.005),NMaxSiègeEquipe*(1+(100-Remplissage_du_brin_montant)*0.005) +1,ROUNDDOWN(SUM($C$20:C28)/Espacement_Véhicules+1,0)))</f>
        <v>0</v>
      </c>
      <c r="Y28" s="236">
        <f>IF($C28=0,0,IF(ROUNDDOWN(SUM($C$21:C28)/Espacement_Véhicules+1,0)&gt;NMaxSiègeEquipe*(1+(100-Remplissage_du_brin_montant)*0.005),NMaxSiègeEquipe*(1+(100-Remplissage_du_brin_montant)*0.005) +1,ROUNDDOWN(SUM($C$21:C28)/Espacement_Véhicules+1,0)))</f>
        <v>0</v>
      </c>
      <c r="Z28" s="236">
        <f>IF($C28=0,0,IF(ROUNDDOWN(SUM($C$22:C28)/Espacement_Véhicules+1,0)&gt;NMaxSiègeEquipe*(1+(100-Remplissage_du_brin_montant)*0.005),NMaxSiègeEquipe*(1+(100-Remplissage_du_brin_montant)*0.005) +1,ROUNDDOWN(SUM($C$22:C28)/Espacement_Véhicules+1,0)))</f>
        <v>0</v>
      </c>
      <c r="AA28" s="236">
        <f>IF($C28=0,0,IF(ROUNDDOWN(SUM($C$23:C28)/Espacement_Véhicules+1,0)&gt;NMaxSiègeEquipe*(1+(100-Remplissage_du_brin_montant)*0.005),NMaxSiègeEquipe*(1+(100-Remplissage_du_brin_montant)*0.005) +1,ROUNDDOWN(SUM($C$23:C28)/Espacement_Véhicules+1,0)))</f>
        <v>0</v>
      </c>
      <c r="AB28" s="236">
        <f>IF($C28=0,0,IF(ROUNDDOWN(SUM($C$24:C28)/Espacement_Véhicules+1,0)&gt;NMaxSiègeEquipe*(1+(100-Remplissage_du_brin_montant)*0.005),NMaxSiègeEquipe*(1+(100-Remplissage_du_brin_montant)*0.005)+1,ROUNDDOWN(SUM($C$24:C28)/Espacement_Véhicules+1,0)))</f>
        <v>0</v>
      </c>
      <c r="AC28" s="236">
        <f>IF($C28=0,0,IF(ROUNDDOWN(SUM($C$25:C28)/Espacement_Véhicules+1,0)&gt;NMaxSiègeEquipe*(1+(100-Remplissage_du_brin_montant)*0.005),NMaxSiègeEquipe*(1+(100-Remplissage_du_brin_montant)*0.005) +1,ROUNDDOWN(SUM($C$25:C28)/Espacement_Véhicules+1,0)))</f>
        <v>0</v>
      </c>
      <c r="AD28" s="236">
        <f>IF($C28=0,0,IF(ROUNDDOWN(SUM($C$26:C28)/Espacement_Véhicules+1,0)&gt;NMaxSiègeEquipe*(1+(100-Remplissage_du_brin_montant)*0.005),NMaxSiègeEquipe*(1+(100-Remplissage_du_brin_montant)*0.005) +1,ROUNDDOWN(SUM($C$26:C28)/Espacement_Véhicules+1,0)))</f>
        <v>0</v>
      </c>
      <c r="AE28" s="236">
        <f>IF($C28=0,0,IF(ROUNDDOWN(SUM($C$27:C28)/Espacement_Véhicules+1,0)&gt;NMaxSiègeEquipe*(1+(100-Remplissage_du_brin_montant)*0.005),NMaxSiègeEquipe*(1+(100-Remplissage_du_brin_montant)*0.005) +1,ROUNDDOWN(SUM($C$27:C28)/Espacement_Véhicules+1,0)))</f>
        <v>0</v>
      </c>
      <c r="AF28" s="236">
        <f>IF($C28=0,0,ROUNDDOWN($C28/Espacement_Véhicules+1,0))</f>
        <v>0</v>
      </c>
      <c r="AG28" s="350"/>
      <c r="AH28" s="350"/>
      <c r="AI28" s="350"/>
      <c r="AJ28" s="356">
        <f t="shared" si="0"/>
        <v>0</v>
      </c>
      <c r="AK28" s="356">
        <f t="shared" si="10"/>
        <v>0</v>
      </c>
      <c r="AL28" s="356">
        <f t="shared" si="14"/>
        <v>0</v>
      </c>
      <c r="AM28" s="356">
        <f t="shared" si="18"/>
        <v>0</v>
      </c>
      <c r="AN28" s="356">
        <f t="shared" si="22"/>
        <v>0</v>
      </c>
      <c r="AO28" s="356">
        <f t="shared" si="26"/>
        <v>0</v>
      </c>
      <c r="AP28" s="356">
        <f t="shared" si="30"/>
        <v>0</v>
      </c>
      <c r="AQ28" s="356">
        <f t="shared" si="34"/>
        <v>0</v>
      </c>
      <c r="AR28" s="356">
        <f t="shared" si="38"/>
        <v>0</v>
      </c>
      <c r="AS28" s="356">
        <f t="shared" si="42"/>
        <v>0</v>
      </c>
      <c r="AT28" s="356">
        <f t="shared" si="46"/>
        <v>0</v>
      </c>
      <c r="AU28" s="356">
        <f t="shared" si="50"/>
        <v>0</v>
      </c>
      <c r="AV28" s="356">
        <f t="shared" si="54"/>
        <v>0</v>
      </c>
      <c r="AW28" s="356">
        <f t="shared" si="58"/>
        <v>0</v>
      </c>
      <c r="AX28" s="356">
        <f t="shared" si="62"/>
        <v>0</v>
      </c>
      <c r="AY28" s="356">
        <f t="shared" si="66"/>
        <v>0</v>
      </c>
      <c r="AZ28" s="356">
        <f t="shared" si="70"/>
        <v>0</v>
      </c>
      <c r="BA28" s="356">
        <f t="shared" si="74"/>
        <v>0</v>
      </c>
      <c r="BB28" s="356">
        <f t="shared" si="78"/>
        <v>0</v>
      </c>
      <c r="BC28" s="356">
        <f t="shared" si="82"/>
        <v>0</v>
      </c>
      <c r="BD28" s="356">
        <f>IF($C28=0,0,IF(BD27+$F28*(AD28-AD27)*Remplissage_du_brin_montant/100+$H28&gt;=Durée_maximale_d_évacuation,Durée_maximale_d_évacuation,IF(BD27+$F28*(AD28-AD27)*Remplissage_du_brin_montant/100+$G28+$F29*(AD29-AD28)*Remplissage_du_brin_montant/100+$H29&gt;=Durée_maximale_d_évacuation,BD27+$F28*(AD28-AD27)*Remplissage_du_brin_montant/100+$H28,BD27+$F28*(AD28-AD27)*Remplissage_du_brin_montant/100+$G28)))</f>
        <v>0</v>
      </c>
      <c r="BE28" s="356">
        <f>IF($C28=0,0,IF(BE27+$F28*(AE28-AE27)*Remplissage_du_brin_montant/100+$H28&gt;=Durée_maximale_d_évacuation,Durée_maximale_d_évacuation,IF(BE27+$F28*(AE28-AE27)*Remplissage_du_brin_montant/100+$G28+$F29*(AE29-AE28)*Remplissage_du_brin_montant/100+$H29&gt;=Durée_maximale_d_évacuation,BE27+$F28*(AE28-AE27)*Remplissage_du_brin_montant/100+$H28,BE27+$F28*(AE28-AE27)*Remplissage_du_brin_montant/100+$G28)))</f>
        <v>0</v>
      </c>
      <c r="BF28" s="356">
        <f>IF($C28=0,0,IF($E28+$F28*AF28*Remplissage_du_brin_montant/100+$G28+($F29-$F28)*AF29*Remplissage_du_brin_montant/100+$H29&gt;=Durée_maximale_d_évacuation,$E28+$F28*AF28*Remplissage_du_brin_montant/100+$H28,$E28+$F28*AF28*Remplissage_du_brin_montant/100+$G28))</f>
        <v>0</v>
      </c>
      <c r="BG28" s="357"/>
      <c r="BH28" s="357"/>
      <c r="BI28" s="357"/>
      <c r="BJ28" s="224">
        <f t="shared" si="1"/>
        <v>0</v>
      </c>
      <c r="BK28" s="224">
        <f t="shared" si="11"/>
        <v>0</v>
      </c>
      <c r="BL28" s="224">
        <f t="shared" si="15"/>
        <v>0</v>
      </c>
      <c r="BM28" s="224">
        <f t="shared" si="19"/>
        <v>0</v>
      </c>
      <c r="BN28" s="224">
        <f t="shared" si="23"/>
        <v>0</v>
      </c>
      <c r="BO28" s="224">
        <f t="shared" si="27"/>
        <v>0</v>
      </c>
      <c r="BP28" s="224">
        <f t="shared" si="31"/>
        <v>0</v>
      </c>
      <c r="BQ28" s="224">
        <f t="shared" si="35"/>
        <v>0</v>
      </c>
      <c r="BR28" s="224">
        <f t="shared" si="39"/>
        <v>0</v>
      </c>
      <c r="BS28" s="224">
        <f t="shared" si="43"/>
        <v>0</v>
      </c>
      <c r="BT28" s="224">
        <f t="shared" si="47"/>
        <v>0</v>
      </c>
      <c r="BU28" s="224">
        <f t="shared" si="51"/>
        <v>0</v>
      </c>
      <c r="BV28" s="224">
        <f t="shared" si="55"/>
        <v>0</v>
      </c>
      <c r="BW28" s="224">
        <f t="shared" si="59"/>
        <v>0</v>
      </c>
      <c r="BX28" s="224">
        <f t="shared" si="63"/>
        <v>0</v>
      </c>
      <c r="BY28" s="224">
        <f t="shared" si="67"/>
        <v>0</v>
      </c>
      <c r="BZ28" s="224">
        <f t="shared" si="71"/>
        <v>0</v>
      </c>
      <c r="CA28" s="224">
        <f t="shared" si="75"/>
        <v>0</v>
      </c>
      <c r="CB28" s="224">
        <f t="shared" si="79"/>
        <v>0</v>
      </c>
      <c r="CC28" s="224">
        <f t="shared" si="83"/>
        <v>0</v>
      </c>
      <c r="CD28" s="224">
        <f>IF(OR(CC28=1,CD27=0),0,IF(AD28=0,0,IF(AD28&lt;NMaxSiègeEquipe*(1+(100-Remplissage_du_brin_montant)*0.005)+1,IF(BD28&lt;Durée_maximale_d_évacuation,1,0),0)))</f>
        <v>0</v>
      </c>
      <c r="CE28" s="224">
        <f>IF(OR(CD28=1,CE27=0),0,IF(AE28=0,0,IF(AE28&lt;NMaxSiègeEquipe*(1+(100-Remplissage_du_brin_montant)*0.005)+1,IF(BE28&lt;Durée_maximale_d_évacuation,1,0),0)))</f>
        <v>0</v>
      </c>
      <c r="CF28" s="224">
        <f>IF(SUM(BJ28:CE28)&gt;0,0,IF(AF28=0,0,IF(AF28&lt;NMaxSiègeEquipe*(1+(100-Remplissage_du_brin_montant)*0.005)+1,IF(BF28&lt;Durée_maximale_d_évacuation,1,0),0)))</f>
        <v>0</v>
      </c>
      <c r="CG28" s="225"/>
      <c r="CH28" s="225"/>
      <c r="CI28" s="225"/>
      <c r="CJ28" s="332">
        <f t="shared" si="2"/>
        <v>0</v>
      </c>
      <c r="CK28" s="236">
        <f t="shared" si="3"/>
        <v>0</v>
      </c>
      <c r="CL28" s="238">
        <f t="shared" si="4"/>
        <v>0</v>
      </c>
      <c r="CM28" s="224">
        <f>IF(Remplissage_du_brin_montant=0,0,IF(22&gt;NBPylône,"",IF(SUM(BJ28:CE28)=1,CM27,CM27+1)))</f>
        <v>0</v>
      </c>
      <c r="CN28" s="17"/>
      <c r="CO28" s="236">
        <f>IF(C28=0,0,IF(ROUNDDOWN(SUM($C$6:C28)/Espacement_Véhicules+1,0)&gt;NMaxSiègeEquipe*(1+(100-Remplissage_du_brin_descendant)*0.005),NMaxSiègeEquipe*(1+(100-Remplissage_du_brin_descendant)*0.005) +1,ROUNDDOWN(SUM($C$6:C28)/Espacement_Véhicules+1,0)))</f>
        <v>0</v>
      </c>
      <c r="CP28" s="236">
        <f>IF($C28=0,0,IF(ROUNDDOWN(SUM($C$7:C28)/Espacement_Véhicules+1,0)&gt;NMaxSiègeEquipe*(1+(100-Remplissage_du_brin_descendant)*0.005),NMaxSiègeEquipe*(1+(100-Remplissage_du_brin_descendant)*0.005) +1,ROUNDDOWN(SUM($C$7:C28)/Espacement_Véhicules+1,0)))</f>
        <v>0</v>
      </c>
      <c r="CQ28" s="236">
        <f>IF($C28=0,0,IF(ROUNDDOWN(SUM($C$8:C28)/Espacement_Véhicules+1,0)&gt;NMaxSiègeEquipe*(1+(100-Remplissage_du_brin_descendant)*0.005),NMaxSiègeEquipe*(1+(100-Remplissage_du_brin_descendant)*0.005) +1,ROUNDDOWN(SUM($C$8:C28)/Espacement_Véhicules+1,0)))</f>
        <v>0</v>
      </c>
      <c r="CR28" s="236">
        <f>IF($C28=0,0,IF(ROUNDDOWN(SUM($C$9:C28)/Espacement_Véhicules+1,0)&gt;NMaxSiègeEquipe*(1+(100-Remplissage_du_brin_descendant)*0.005),NMaxSiègeEquipe*(1+(100-Remplissage_du_brin_descendant)*0.005) +1,ROUNDDOWN(SUM($C$9:C28)/Espacement_Véhicules+1,0)))</f>
        <v>0</v>
      </c>
      <c r="CS28" s="236">
        <f>IF($C28=0,0,IF(ROUNDDOWN(SUM($C$10:C28)/Espacement_Véhicules+1,0)&gt;NMaxSiègeEquipe*(1+(100-Remplissage_du_brin_descendant)*0.005),NMaxSiègeEquipe*(1+(100-Remplissage_du_brin_descendant)*0.005) +1,ROUNDDOWN(SUM($C$10:C28)/Espacement_Véhicules+1,0)))</f>
        <v>0</v>
      </c>
      <c r="CT28" s="236">
        <f>IF($C28=0,0,IF(ROUNDDOWN(SUM($C$11:C28)/Espacement_Véhicules+1,0)&gt;NMaxSiègeEquipe*(1+(100-Remplissage_du_brin_descendant)*0.005),NMaxSiègeEquipe*(1+(100-Remplissage_du_brin_descendant)*0.005) +1,ROUNDDOWN(SUM($C$11:C28)/Espacement_Véhicules+1,0)))</f>
        <v>0</v>
      </c>
      <c r="CU28" s="236">
        <f>IF($C28=0,0,IF(ROUNDDOWN(SUM($C$12:C28)/Espacement_Véhicules+1,0)&gt;NMaxSiègeEquipe*(1+(100-Remplissage_du_brin_descendant)*0.005),NMaxSiègeEquipe*(1+(100-Remplissage_du_brin_descendant)*0.005) +1,ROUNDDOWN(SUM($C$12:C28)/Espacement_Véhicules+1,0)))</f>
        <v>0</v>
      </c>
      <c r="CV28" s="236">
        <f>IF($C28=0,0,IF(ROUNDDOWN(SUM($C$13:C28)/Espacement_Véhicules+1,0)&gt;NMaxSiègeEquipe*(1+(100-Remplissage_du_brin_descendant)*0.005),NMaxSiègeEquipe*(1+(100-Remplissage_du_brin_descendant)*0.005) +1,ROUNDDOWN(SUM($C$13:C28)/Espacement_Véhicules+1,0)))</f>
        <v>0</v>
      </c>
      <c r="CW28" s="236">
        <f>IF($C28=0,0,IF(ROUNDDOWN(SUM($C$14:C28)/Espacement_Véhicules+1,0)&gt;NMaxSiègeEquipe*(1+(100-Remplissage_du_brin_descendant)*0.005),NMaxSiègeEquipe*(1+(100-Remplissage_du_brin_descendant)*0.005) +1,ROUNDDOWN(SUM($C$14:C28)/Espacement_Véhicules+1,0)))</f>
        <v>0</v>
      </c>
      <c r="CX28" s="236">
        <f>IF($C28=0,0,IF(ROUNDDOWN(SUM($C$15:C28)/Espacement_Véhicules+1,0)&gt;NMaxSiègeEquipe*(1+(100-Remplissage_du_brin_descendant)*0.005),NMaxSiègeEquipe*(1+(100-Remplissage_du_brin_descendant)*0.005) +1,ROUNDDOWN(SUM($C$15:C28)/Espacement_Véhicules+1,0)))</f>
        <v>0</v>
      </c>
      <c r="CY28" s="236">
        <f>IF($C28=0,0,IF(ROUNDDOWN(SUM($C$16:C28)/Espacement_Véhicules+1,0)&gt;NMaxSiègeEquipe*(1+(100-Remplissage_du_brin_descendant)*0.005),NMaxSiègeEquipe*(1+(100-Remplissage_du_brin_descendant)*0.005) +1,ROUNDDOWN(SUM($C$16:C28)/Espacement_Véhicules+1,0)))</f>
        <v>0</v>
      </c>
      <c r="CZ28" s="236">
        <f>IF($C28=0,0,IF(ROUNDDOWN(SUM($C$17:C28)/Espacement_Véhicules+1,0)&gt;NMaxSiègeEquipe*(1+(100-Remplissage_du_brin_descendant)*0.005),NMaxSiègeEquipe*(1+(100-Remplissage_du_brin_descendant)*0.005) +1,ROUNDDOWN(SUM($C$17:C28)/Espacement_Véhicules+1,0)))</f>
        <v>0</v>
      </c>
      <c r="DA28" s="236">
        <f>IF($C28=0,0,IF(ROUNDDOWN(SUM($C$18:C28)/Espacement_Véhicules+1,0)&gt;NMaxSiègeEquipe*(1+(100-Remplissage_du_brin_descendant)*0.005),NMaxSiègeEquipe*(1+(100-Remplissage_du_brin_descendant)*0.005) +1,ROUNDDOWN(SUM($C$18:C28)/Espacement_Véhicules+1,0)))</f>
        <v>0</v>
      </c>
      <c r="DB28" s="236">
        <f>IF($C28=0,0,IF(ROUNDDOWN(SUM($C$19:C28)/Espacement_Véhicules+1,0)&gt;NMaxSiègeEquipe*(1+(100-Remplissage_du_brin_descendant)*0.005),NMaxSiègeEquipe*(1+(100-Remplissage_du_brin_descendant)*0.005) +1,ROUNDDOWN(SUM($C$19:C28)/Espacement_Véhicules+1,0)))</f>
        <v>0</v>
      </c>
      <c r="DC28" s="236">
        <f>IF($C28=0,0,IF(ROUNDDOWN(SUM($C$20:C28)/Espacement_Véhicules+1,0)&gt;NMaxSiègeEquipe*(1+(100-Remplissage_du_brin_descendant)*0.005),NMaxSiègeEquipe*(1+(100-Remplissage_du_brin_descendant)*0.005) +1,ROUNDDOWN(SUM($C$20:C28)/Espacement_Véhicules+1,0)))</f>
        <v>0</v>
      </c>
      <c r="DD28" s="236">
        <f>IF($C28=0,0,IF(ROUNDDOWN(SUM($C$21:C28)/Espacement_Véhicules+1,0)&gt;NMaxSiègeEquipe*(1+(100-Remplissage_du_brin_descendant)*0.005),NMaxSiègeEquipe*(1+(100-Remplissage_du_brin_descendant)*0.005) +1,ROUNDDOWN(SUM($C$21:C28)/Espacement_Véhicules+1,0)))</f>
        <v>0</v>
      </c>
      <c r="DE28" s="236">
        <f>IF($C28=0,0,IF(ROUNDDOWN(SUM($C$22:C28)/Espacement_Véhicules+1,0)&gt;NMaxSiègeEquipe*(1+(100-Remplissage_du_brin_descendant)*0.005),NMaxSiègeEquipe*(1+(100-Remplissage_du_brin_descendant)*0.005) +1,ROUNDDOWN(SUM($C$22:C28)/Espacement_Véhicules+1,0)))</f>
        <v>0</v>
      </c>
      <c r="DF28" s="236">
        <f>IF($C28=0,0,IF(ROUNDDOWN(SUM($C$23:C28)/Espacement_Véhicules+1,0)&gt;NMaxSiègeEquipe*(1+(100-Remplissage_du_brin_descendant)*0.005),NMaxSiègeEquipe*(1+(100-Remplissage_du_brin_descendant)*0.005) +1,ROUNDDOWN(SUM($C$23:C28)/Espacement_Véhicules+1,0)))</f>
        <v>0</v>
      </c>
      <c r="DG28" s="236">
        <f>IF($C28=0,0,IF(ROUNDDOWN(SUM($C$24:C28)/Espacement_Véhicules+1,0)&gt;NMaxSiègeEquipe*(1+(100-Remplissage_du_brin_descendant)*0.005),NMaxSiègeEquipe*(1+(100-Remplissage_du_brin_descendant)*0.005) +1,ROUNDDOWN(SUM($C$24:C28)/Espacement_Véhicules+1,0)))</f>
        <v>0</v>
      </c>
      <c r="DH28" s="236">
        <f>IF($C28=0,0,IF(ROUNDDOWN(SUM($C$25:C28)/Espacement_Véhicules+1,0)&gt;NMaxSiègeEquipe*(1+(100-Remplissage_du_brin_descendant)*0.005),NMaxSiègeEquipe*(1+(100-Remplissage_du_brin_descendant)*0.005) +1,ROUNDDOWN(SUM($C$25:C28)/Espacement_Véhicules+1,0)))</f>
        <v>0</v>
      </c>
      <c r="DI28" s="236">
        <f>IF($C28=0,0,IF(ROUNDDOWN(SUM($C$26:C28)/Espacement_Véhicules+1,0)&gt;NMaxSiègeEquipe*(1+(100-Remplissage_du_brin_descendant)*0.005),NMaxSiègeEquipe*(1+(100-Remplissage_du_brin_descendant)*0.005) +1,ROUNDDOWN(SUM($C$26:C28)/Espacement_Véhicules+1,0)))</f>
        <v>0</v>
      </c>
      <c r="DJ28" s="236">
        <f>IF($C28=0,0,IF(ROUNDDOWN(SUM($C$27:C28)/Espacement_Véhicules+1,0)&gt;NMaxSiègeEquipe*(1+(100-Remplissage_du_brin_descendant)*0.005),NMaxSiègeEquipe*(1+(100-Remplissage_du_brin_descendant)*0.005) +1,ROUNDDOWN(SUM($C$27:C28)/Espacement_Véhicules+1,0)))</f>
        <v>0</v>
      </c>
      <c r="DK28" s="236">
        <f>IF($C28=0,0,ROUNDDOWN($C28/Espacement_Véhicules+1,0))</f>
        <v>0</v>
      </c>
      <c r="DL28" s="350"/>
      <c r="DM28" s="350"/>
      <c r="DN28" s="350"/>
      <c r="DO28" s="356">
        <f t="shared" si="5"/>
        <v>0</v>
      </c>
      <c r="DP28" s="356">
        <f t="shared" si="12"/>
        <v>0</v>
      </c>
      <c r="DQ28" s="356">
        <f t="shared" si="16"/>
        <v>0</v>
      </c>
      <c r="DR28" s="356">
        <f t="shared" si="20"/>
        <v>0</v>
      </c>
      <c r="DS28" s="356">
        <f t="shared" si="24"/>
        <v>0</v>
      </c>
      <c r="DT28" s="356">
        <f t="shared" si="28"/>
        <v>0</v>
      </c>
      <c r="DU28" s="356">
        <f t="shared" si="32"/>
        <v>0</v>
      </c>
      <c r="DV28" s="356">
        <f t="shared" si="36"/>
        <v>0</v>
      </c>
      <c r="DW28" s="356">
        <f t="shared" si="40"/>
        <v>0</v>
      </c>
      <c r="DX28" s="356">
        <f t="shared" si="44"/>
        <v>0</v>
      </c>
      <c r="DY28" s="356">
        <f t="shared" si="48"/>
        <v>0</v>
      </c>
      <c r="DZ28" s="356">
        <f t="shared" si="52"/>
        <v>0</v>
      </c>
      <c r="EA28" s="356">
        <f t="shared" si="56"/>
        <v>0</v>
      </c>
      <c r="EB28" s="356">
        <f t="shared" si="60"/>
        <v>0</v>
      </c>
      <c r="EC28" s="356">
        <f t="shared" si="64"/>
        <v>0</v>
      </c>
      <c r="ED28" s="356">
        <f t="shared" si="68"/>
        <v>0</v>
      </c>
      <c r="EE28" s="356">
        <f t="shared" si="72"/>
        <v>0</v>
      </c>
      <c r="EF28" s="356">
        <f t="shared" si="76"/>
        <v>0</v>
      </c>
      <c r="EG28" s="356">
        <f t="shared" si="80"/>
        <v>0</v>
      </c>
      <c r="EH28" s="356">
        <f t="shared" si="84"/>
        <v>0</v>
      </c>
      <c r="EI28" s="356">
        <f>IF($C28=0,0,IF(EI27+$F28*(DI28-DI27)*Remplissage_du_brin_descendant/100+$H28&gt;=Durée_maximale_d_évacuation,Durée_maximale_d_évacuation,IF(EI27+$F28*(DI28-DI27)*Remplissage_du_brin_descendant/100+$G28+$F29*(DI29-DI28)*Remplissage_du_brin_descendant/100+$H29&gt;=Durée_maximale_d_évacuation,EI27+$F28*(DI28-DI27)*Remplissage_du_brin_descendant/100+$H28,EI27+$F28*(DI28-DI27)*Remplissage_du_brin_descendant/100+$G28)))</f>
        <v>0</v>
      </c>
      <c r="EJ28" s="356">
        <f>IF($C28=0,0,IF(EJ27+$F28*(DJ28-DJ27)*Remplissage_du_brin_descendant/100+$H28&gt;=Durée_maximale_d_évacuation,Durée_maximale_d_évacuation,IF(EJ27+$F28*(DJ28-DJ27)*Remplissage_du_brin_descendant/100+$G28+$F29*(DJ29-DJ28)*Remplissage_du_brin_descendant/100+$H29&gt;=Durée_maximale_d_évacuation,EJ27+$F28*(DJ28-DJ27)*Remplissage_du_brin_descendant/100+$H28,EJ27+$F28*(DJ28-DJ27)*Remplissage_du_brin_descendant/100+$G28)))</f>
        <v>0</v>
      </c>
      <c r="EK28" s="356">
        <f>IF($C28=0,0,IF($E28+$F28*DK28*Remplissage_du_brin_descendant/100+$G28+($F29-$F28)*DK29*Remplissage_du_brin_descendant/100+$H29&gt;=Durée_maximale_d_évacuation,$E28+$F28*DK28*Remplissage_du_brin_descendant/100+$H28,$E28+$F28*DK28*Remplissage_du_brin_descendant/100+$G28))</f>
        <v>0</v>
      </c>
      <c r="EL28" s="357"/>
      <c r="EM28" s="357"/>
      <c r="EN28" s="357"/>
      <c r="EO28" s="224">
        <f t="shared" si="6"/>
        <v>0</v>
      </c>
      <c r="EP28" s="224">
        <f t="shared" si="13"/>
        <v>0</v>
      </c>
      <c r="EQ28" s="224">
        <f t="shared" si="17"/>
        <v>0</v>
      </c>
      <c r="ER28" s="224">
        <f t="shared" si="21"/>
        <v>0</v>
      </c>
      <c r="ES28" s="224">
        <f t="shared" si="25"/>
        <v>0</v>
      </c>
      <c r="ET28" s="224">
        <f t="shared" si="29"/>
        <v>0</v>
      </c>
      <c r="EU28" s="224">
        <f t="shared" si="33"/>
        <v>0</v>
      </c>
      <c r="EV28" s="224">
        <f t="shared" si="37"/>
        <v>0</v>
      </c>
      <c r="EW28" s="224">
        <f t="shared" si="41"/>
        <v>0</v>
      </c>
      <c r="EX28" s="224">
        <f t="shared" si="45"/>
        <v>0</v>
      </c>
      <c r="EY28" s="224">
        <f t="shared" si="49"/>
        <v>0</v>
      </c>
      <c r="EZ28" s="224">
        <f t="shared" si="53"/>
        <v>0</v>
      </c>
      <c r="FA28" s="224">
        <f t="shared" si="57"/>
        <v>0</v>
      </c>
      <c r="FB28" s="224">
        <f t="shared" si="61"/>
        <v>0</v>
      </c>
      <c r="FC28" s="224">
        <f t="shared" si="65"/>
        <v>0</v>
      </c>
      <c r="FD28" s="224">
        <f t="shared" si="69"/>
        <v>0</v>
      </c>
      <c r="FE28" s="224">
        <f t="shared" si="73"/>
        <v>0</v>
      </c>
      <c r="FF28" s="224">
        <f t="shared" si="77"/>
        <v>0</v>
      </c>
      <c r="FG28" s="224">
        <f t="shared" si="81"/>
        <v>0</v>
      </c>
      <c r="FH28" s="224">
        <f t="shared" si="85"/>
        <v>0</v>
      </c>
      <c r="FI28" s="224">
        <f>IF(OR(FH28=1,FI27=0),0,IF(DI28=0,0,IF(DI28&lt;NMaxSiègeEquipe*(1+(100-Remplissage_du_brin_descendant)*0.005)+1,IF(EI28&lt;Durée_maximale_d_évacuation,1,0),0)))</f>
        <v>0</v>
      </c>
      <c r="FJ28" s="224">
        <f>IF(OR(FI28=1,FJ27=0),0,IF(DJ28=0,0,IF(DJ28&lt;NMaxSiègeEquipe*(1+(100-Remplissage_du_brin_descendant)*0.005)+1,IF(EJ28&lt;Durée_maximale_d_évacuation,1,0),0)))</f>
        <v>0</v>
      </c>
      <c r="FK28" s="224">
        <f>IF(SUM(EO28:FJ28)&gt;0,0,IF(DK28=0,0,IF(DK28&lt;NMaxSiègeEquipe*(1+(100-Remplissage_du_brin_descendant)*0.005)+1,IF(EK28&lt;Durée_maximale_d_évacuation,1,0),0)))</f>
        <v>0</v>
      </c>
      <c r="FL28" s="225"/>
      <c r="FM28" s="225"/>
      <c r="FN28" s="225"/>
      <c r="FO28" s="332">
        <f t="shared" si="7"/>
        <v>0</v>
      </c>
      <c r="FP28" s="236">
        <f t="shared" si="8"/>
        <v>0</v>
      </c>
      <c r="FQ28" s="238">
        <f t="shared" si="9"/>
        <v>0</v>
      </c>
      <c r="FR28" s="224">
        <f>IF(Remplissage_du_brin_descendant=0,0,IF(22&gt;NBPylône,"",IF(SUM(EO28:FJ28)=1,FR27,FR27+1)))</f>
        <v>0</v>
      </c>
    </row>
    <row r="29" spans="1:174" x14ac:dyDescent="0.2">
      <c r="A29" s="62" t="str">
        <f>'     2-DL     '!C31</f>
        <v/>
      </c>
      <c r="B29" s="65" t="str">
        <f>'     2-DL     '!D31</f>
        <v/>
      </c>
      <c r="C29" s="63">
        <f>IF(B29="",0,'     2-DL     '!E31)</f>
        <v>0</v>
      </c>
      <c r="D29" s="66"/>
      <c r="E29" s="4">
        <f>IF(C29=0,0,'     2-DL     '!F31)</f>
        <v>0</v>
      </c>
      <c r="F29" s="4">
        <f>IF(C29=0,0,IF(S_TempsEvacuationVehicule=1,A_TempsEvacuationVéhicule,'     2-DL     '!H31))</f>
        <v>0</v>
      </c>
      <c r="G29" s="4">
        <f>IF(C29=0,0,IF(S_TempsAccèsPortéeSuivante=1,A_TempsAccèsPortéeSuivante,'     2-DL     '!J31))</f>
        <v>0</v>
      </c>
      <c r="H29" s="4">
        <f>IF(C29=0,0,'     2-DL     '!L31)</f>
        <v>0</v>
      </c>
      <c r="I29" s="66"/>
      <c r="J29" s="236">
        <f>IF($C29=0,0,IF(ROUNDDOWN(SUM($C$6:C29)/Espacement_Véhicules+1,0)&gt;NMaxSiègeEquipe*(1+(100-Remplissage_du_brin_montant)*0.005),NMaxSiègeEquipe*(1+(100-Remplissage_du_brin_montant)*0.005) +1,ROUNDDOWN(SUM($C$6:C29)/Espacement_Véhicules+1,0)))</f>
        <v>0</v>
      </c>
      <c r="K29" s="236">
        <f>IF($C29=0,0,IF(ROUNDDOWN(SUM($C$7:C29)/Espacement_Véhicules+1,0)&gt;NMaxSiègeEquipe*(1+(100-Remplissage_du_brin_montant)*0.005),NMaxSiègeEquipe*(1+(100-Remplissage_du_brin_montant)*0.005) +1,ROUNDDOWN(SUM($C$7:C29)/Espacement_Véhicules+1,0)))</f>
        <v>0</v>
      </c>
      <c r="L29" s="236">
        <f>IF($C29=0,0,IF(ROUNDDOWN(SUM($C$8:C29)/Espacement_Véhicules+1,0)&gt;NMaxSiègeEquipe*(1+(100-Remplissage_du_brin_montant)*0.005),NMaxSiègeEquipe*(1+(100-Remplissage_du_brin_montant)*0.005) +1,ROUNDDOWN(SUM($C$8:C29)/Espacement_Véhicules+1,0)))</f>
        <v>0</v>
      </c>
      <c r="M29" s="236">
        <f>IF($C29=0,0,IF(ROUNDDOWN(SUM($C$9:C29)/Espacement_Véhicules+1,0)&gt;NMaxSiègeEquipe*(1+(100-Remplissage_du_brin_montant)*0.005),NMaxSiègeEquipe*(1+(100-Remplissage_du_brin_montant)*0.005) +1,ROUNDDOWN(SUM($C$9:C29)/Espacement_Véhicules+1,0)))</f>
        <v>0</v>
      </c>
      <c r="N29" s="236">
        <f>IF($C29=0,0,IF(ROUNDDOWN(SUM($C10:$C29)/Espacement_Véhicules+1,0)&gt;NMaxSiègeEquipe*(1+(100-Remplissage_du_brin_montant)*0.005),NMaxSiègeEquipe +1,ROUNDDOWN(SUM($C10:$C29)/Espacement_Véhicules+1,0)))</f>
        <v>0</v>
      </c>
      <c r="O29" s="236">
        <f>IF($C29=0,0,IF(ROUNDDOWN(SUM($C28:C29)/Espacement_Véhicules+1,0)&gt;NMaxSiègeEquipe*(1+(100-Remplissage_du_brin_montant)*0.005),NMaxSiègeEquipe*(1+(100-Remplissage_du_brin_montant)*0.005) +1,ROUNDDOWN(SUM($C$11:C29)/Espacement_Véhicules+1,0)))</f>
        <v>0</v>
      </c>
      <c r="P29" s="236">
        <f>IF($C29=0,0,IF(ROUNDDOWN(SUM($C$12:C29)/Espacement_Véhicules+1,0)&gt;NMaxSiègeEquipe*(1+(100-Remplissage_du_brin_montant)*0.005),NMaxSiègeEquipe*(1+(100-Remplissage_du_brin_montant)*0.005) +1,ROUNDDOWN(SUM($C$12:C29)/Espacement_Véhicules+1,0)))</f>
        <v>0</v>
      </c>
      <c r="Q29" s="236">
        <f>IF($C29=0,0,IF(ROUNDDOWN(SUM($C$13:C29)/Espacement_Véhicules+1,0)&gt;NMaxSiègeEquipe*(1+(100-Remplissage_du_brin_montant)*0.005),NMaxSiègeEquipe*(1+(100-Remplissage_du_brin_montant)*0.005) +1,ROUNDDOWN(SUM($C$13:C29)/Espacement_Véhicules+1,0)))</f>
        <v>0</v>
      </c>
      <c r="R29" s="236">
        <f>IF($C29=0,0,IF(ROUNDDOWN(SUM($C$14:C29)/Espacement_Véhicules+1,0)&gt;NMaxSiègeEquipe*(1+(100-Remplissage_du_brin_montant)*0.005),NMaxSiègeEquipe*(1+(100-Remplissage_du_brin_montant)*0.005) +1,ROUNDDOWN(SUM($C$14:C29)/Espacement_Véhicules+1,0)))</f>
        <v>0</v>
      </c>
      <c r="S29" s="236">
        <f>IF($C29=0,0,IF(ROUNDDOWN(SUM($C$15:C29)/Espacement_Véhicules+1,0)&gt;NMaxSiègeEquipe*(1+(100-Remplissage_du_brin_montant)*0.005),NMaxSiègeEquipe*(1+(100-Remplissage_du_brin_montant)*0.005) +1,ROUNDDOWN(SUM($C$15:C29)/Espacement_Véhicules+1,0)))</f>
        <v>0</v>
      </c>
      <c r="T29" s="236">
        <f>IF($C29=0,0,IF(ROUNDDOWN(SUM($C$16:C29)/Espacement_Véhicules+1,0)&gt;NMaxSiègeEquipe*(1+(100-Remplissage_du_brin_montant)*0.005),NMaxSiègeEquipe*(1+(100-Remplissage_du_brin_montant)*0.005) +1,ROUNDDOWN(SUM($C$16:C29)/Espacement_Véhicules+1,0)))</f>
        <v>0</v>
      </c>
      <c r="U29" s="236">
        <f>IF($C29=0,0,IF(ROUNDDOWN(SUM($C$17:C29)/Espacement_Véhicules+1,0)&gt;NMaxSiègeEquipe*(1+(100-Remplissage_du_brin_montant)*0.005),NMaxSiègeEquipe*(1+(100-Remplissage_du_brin_montant)*0.005) +1,ROUNDDOWN(SUM($C$17:C29)/Espacement_Véhicules+1,0)))</f>
        <v>0</v>
      </c>
      <c r="V29" s="236">
        <f>IF($C29=0,0,IF(ROUNDDOWN(SUM($C$18:C29)/Espacement_Véhicules+1,0)&gt;NMaxSiègeEquipe*(1+(100-Remplissage_du_brin_montant)*0.005),NMaxSiègeEquipe*(1+(100-Remplissage_du_brin_montant)*0.005) +1,ROUNDDOWN(SUM($C$18:C29)/Espacement_Véhicules+1,0)))</f>
        <v>0</v>
      </c>
      <c r="W29" s="236">
        <f>IF($C29=0,0,IF(ROUNDDOWN(SUM($C$19:C29)/Espacement_Véhicules+1,0)&gt;NMaxSiègeEquipe*(1+(100-Remplissage_du_brin_montant)*0.005),NMaxSiègeEquipe*(1+(100-Remplissage_du_brin_montant)*0.005) +1,ROUNDDOWN(SUM($C$19:C29)/Espacement_Véhicules+1,0)))</f>
        <v>0</v>
      </c>
      <c r="X29" s="236">
        <f>IF($C29=0,0,IF(ROUNDDOWN(SUM($C$20:C29)/Espacement_Véhicules+1,0)&gt;NMaxSiègeEquipe*(1+(100-Remplissage_du_brin_montant)*0.005),NMaxSiègeEquipe*(1+(100-Remplissage_du_brin_montant)*0.005) +1,ROUNDDOWN(SUM($C$20:C29)/Espacement_Véhicules+1,0)))</f>
        <v>0</v>
      </c>
      <c r="Y29" s="236">
        <f>IF($C29=0,0,IF(ROUNDDOWN(SUM($C$21:C29)/Espacement_Véhicules+1,0)&gt;NMaxSiègeEquipe*(1+(100-Remplissage_du_brin_montant)*0.005),NMaxSiègeEquipe*(1+(100-Remplissage_du_brin_montant)*0.005) +1,ROUNDDOWN(SUM($C$21:C29)/Espacement_Véhicules+1,0)))</f>
        <v>0</v>
      </c>
      <c r="Z29" s="236">
        <f>IF($C29=0,0,IF(ROUNDDOWN(SUM($C$22:C29)/Espacement_Véhicules+1,0)&gt;NMaxSiègeEquipe*(1+(100-Remplissage_du_brin_montant)*0.005),NMaxSiègeEquipe*(1+(100-Remplissage_du_brin_montant)*0.005) +1,ROUNDDOWN(SUM($C$22:C29)/Espacement_Véhicules+1,0)))</f>
        <v>0</v>
      </c>
      <c r="AA29" s="236">
        <f>IF($C29=0,0,IF(ROUNDDOWN(SUM($C$23:C29)/Espacement_Véhicules+1,0)&gt;NMaxSiègeEquipe*(1+(100-Remplissage_du_brin_montant)*0.005),NMaxSiègeEquipe*(1+(100-Remplissage_du_brin_montant)*0.005) +1,ROUNDDOWN(SUM($C$23:C29)/Espacement_Véhicules+1,0)))</f>
        <v>0</v>
      </c>
      <c r="AB29" s="236">
        <f>IF($C29=0,0,IF(ROUNDDOWN(SUM($C$24:C29)/Espacement_Véhicules+1,0)&gt;NMaxSiègeEquipe*(1+(100-Remplissage_du_brin_montant)*0.005),NMaxSiègeEquipe*(1+(100-Remplissage_du_brin_montant)*0.005)+1,ROUNDDOWN(SUM($C$24:C29)/Espacement_Véhicules+1,0)))</f>
        <v>0</v>
      </c>
      <c r="AC29" s="236">
        <f>IF($C29=0,0,IF(ROUNDDOWN(SUM($C$25:C29)/Espacement_Véhicules+1,0)&gt;NMaxSiègeEquipe*(1+(100-Remplissage_du_brin_montant)*0.005),NMaxSiègeEquipe*(1+(100-Remplissage_du_brin_montant)*0.005) +1,ROUNDDOWN(SUM($C$25:C29)/Espacement_Véhicules+1,0)))</f>
        <v>0</v>
      </c>
      <c r="AD29" s="236">
        <f>IF($C29=0,0,IF(ROUNDDOWN(SUM($C$26:C29)/Espacement_Véhicules+1,0)&gt;NMaxSiègeEquipe*(1+(100-Remplissage_du_brin_montant)*0.005),NMaxSiègeEquipe*(1+(100-Remplissage_du_brin_montant)*0.005) +1,ROUNDDOWN(SUM($C$26:C29)/Espacement_Véhicules+1,0)))</f>
        <v>0</v>
      </c>
      <c r="AE29" s="236">
        <f>IF($C29=0,0,IF(ROUNDDOWN(SUM($C$27:C29)/Espacement_Véhicules+1,0)&gt;NMaxSiègeEquipe*(1+(100-Remplissage_du_brin_montant)*0.005),NMaxSiègeEquipe*(1+(100-Remplissage_du_brin_montant)*0.005) +1,ROUNDDOWN(SUM($C$27:C29)/Espacement_Véhicules+1,0)))</f>
        <v>0</v>
      </c>
      <c r="AF29" s="236">
        <f>IF($C29=0,0,IF(ROUNDDOWN(SUM($C$28:C29)/Espacement_Véhicules+1,0)&gt;NMaxSiègeEquipe*(1+(100-Remplissage_du_brin_montant)*0.005),NMaxSiègeEquipe*(1+(100-Remplissage_du_brin_montant)*0.005) +1,ROUNDDOWN(SUM($C$28:C29)/Espacement_Véhicules+1,0)))</f>
        <v>0</v>
      </c>
      <c r="AG29" s="236">
        <f>IF($C29=0,0,ROUNDDOWN($C29/Espacement_Véhicules+1,0))</f>
        <v>0</v>
      </c>
      <c r="AH29" s="350"/>
      <c r="AI29" s="350"/>
      <c r="AJ29" s="356">
        <f t="shared" si="0"/>
        <v>0</v>
      </c>
      <c r="AK29" s="356">
        <f t="shared" si="10"/>
        <v>0</v>
      </c>
      <c r="AL29" s="356">
        <f t="shared" si="14"/>
        <v>0</v>
      </c>
      <c r="AM29" s="356">
        <f t="shared" si="18"/>
        <v>0</v>
      </c>
      <c r="AN29" s="356">
        <f t="shared" si="22"/>
        <v>0</v>
      </c>
      <c r="AO29" s="356">
        <f t="shared" si="26"/>
        <v>0</v>
      </c>
      <c r="AP29" s="356">
        <f t="shared" si="30"/>
        <v>0</v>
      </c>
      <c r="AQ29" s="356">
        <f t="shared" si="34"/>
        <v>0</v>
      </c>
      <c r="AR29" s="356">
        <f t="shared" si="38"/>
        <v>0</v>
      </c>
      <c r="AS29" s="356">
        <f t="shared" si="42"/>
        <v>0</v>
      </c>
      <c r="AT29" s="356">
        <f t="shared" si="46"/>
        <v>0</v>
      </c>
      <c r="AU29" s="356">
        <f t="shared" si="50"/>
        <v>0</v>
      </c>
      <c r="AV29" s="356">
        <f t="shared" si="54"/>
        <v>0</v>
      </c>
      <c r="AW29" s="356">
        <f t="shared" si="58"/>
        <v>0</v>
      </c>
      <c r="AX29" s="356">
        <f t="shared" si="62"/>
        <v>0</v>
      </c>
      <c r="AY29" s="356">
        <f t="shared" si="66"/>
        <v>0</v>
      </c>
      <c r="AZ29" s="356">
        <f t="shared" si="70"/>
        <v>0</v>
      </c>
      <c r="BA29" s="356">
        <f t="shared" si="74"/>
        <v>0</v>
      </c>
      <c r="BB29" s="356">
        <f t="shared" si="78"/>
        <v>0</v>
      </c>
      <c r="BC29" s="356">
        <f t="shared" si="82"/>
        <v>0</v>
      </c>
      <c r="BD29" s="356">
        <f>IF($C29=0,0,IF(BD28+$F29*(AD29-AD28)*Remplissage_du_brin_montant/100+$H29&gt;=Durée_maximale_d_évacuation,Durée_maximale_d_évacuation,IF(BD28+$F29*(AD29-AD28)*Remplissage_du_brin_montant/100+$G29+$F30*(AD30-AD29)*Remplissage_du_brin_montant/100+$H30&gt;=Durée_maximale_d_évacuation,BD28+$F29*(AD29-AD28)*Remplissage_du_brin_montant/100+$H29,BD28+$F29*(AD29-AD28)*Remplissage_du_brin_montant/100+$G29)))</f>
        <v>0</v>
      </c>
      <c r="BE29" s="356">
        <f>IF($C29=0,0,IF(BE28+$F29*(AE29-AE28)*Remplissage_du_brin_montant/100+$H29&gt;=Durée_maximale_d_évacuation,Durée_maximale_d_évacuation,IF(BE28+$F29*(AE29-AE28)*Remplissage_du_brin_montant/100+$G29+$F30*(AE30-AE29)*Remplissage_du_brin_montant/100+$H30&gt;=Durée_maximale_d_évacuation,BE28+$F29*(AE29-AE28)*Remplissage_du_brin_montant/100+$H29,BE28+$F29*(AE29-AE28)*Remplissage_du_brin_montant/100+$G29)))</f>
        <v>0</v>
      </c>
      <c r="BF29" s="356">
        <f>IF($C29=0,0,IF(BF28+$F29*(AF29-AF28)*Remplissage_du_brin_montant/100+$H29&gt;=Durée_maximale_d_évacuation,Durée_maximale_d_évacuation,IF(BF28+$F29*(AF29-AF28)*Remplissage_du_brin_montant/100+$G29+$F30*(AF30-AF29)*Remplissage_du_brin_montant/100+$H30&gt;=Durée_maximale_d_évacuation,BF28+$F29*(AF29-AF28)*Remplissage_du_brin_montant/100+$H29,BF28+$F29*(AF29-AF28)*Remplissage_du_brin_montant/100+$G29)))</f>
        <v>0</v>
      </c>
      <c r="BG29" s="356">
        <f>IF($C29=0,0,IF($E29+$F29*AG29*Remplissage_du_brin_montant/100+$G29+($F30-$F29)*AG30*Remplissage_du_brin_montant/100+$H30&gt;=Durée_maximale_d_évacuation,$E29+$F29*AG29*Remplissage_du_brin_montant/100+$H29,$E29+$F29*AG29*Remplissage_du_brin_montant/100+$G29))</f>
        <v>0</v>
      </c>
      <c r="BH29" s="357"/>
      <c r="BI29" s="357"/>
      <c r="BJ29" s="224">
        <f t="shared" si="1"/>
        <v>0</v>
      </c>
      <c r="BK29" s="224">
        <f t="shared" si="11"/>
        <v>0</v>
      </c>
      <c r="BL29" s="224">
        <f t="shared" si="15"/>
        <v>0</v>
      </c>
      <c r="BM29" s="224">
        <f t="shared" si="19"/>
        <v>0</v>
      </c>
      <c r="BN29" s="224">
        <f t="shared" si="23"/>
        <v>0</v>
      </c>
      <c r="BO29" s="224">
        <f t="shared" si="27"/>
        <v>0</v>
      </c>
      <c r="BP29" s="224">
        <f t="shared" si="31"/>
        <v>0</v>
      </c>
      <c r="BQ29" s="224">
        <f t="shared" si="35"/>
        <v>0</v>
      </c>
      <c r="BR29" s="224">
        <f t="shared" si="39"/>
        <v>0</v>
      </c>
      <c r="BS29" s="224">
        <f t="shared" si="43"/>
        <v>0</v>
      </c>
      <c r="BT29" s="224">
        <f t="shared" si="47"/>
        <v>0</v>
      </c>
      <c r="BU29" s="224">
        <f t="shared" si="51"/>
        <v>0</v>
      </c>
      <c r="BV29" s="224">
        <f t="shared" si="55"/>
        <v>0</v>
      </c>
      <c r="BW29" s="224">
        <f t="shared" si="59"/>
        <v>0</v>
      </c>
      <c r="BX29" s="224">
        <f t="shared" si="63"/>
        <v>0</v>
      </c>
      <c r="BY29" s="224">
        <f t="shared" si="67"/>
        <v>0</v>
      </c>
      <c r="BZ29" s="224">
        <f t="shared" si="71"/>
        <v>0</v>
      </c>
      <c r="CA29" s="224">
        <f t="shared" si="75"/>
        <v>0</v>
      </c>
      <c r="CB29" s="224">
        <f t="shared" si="79"/>
        <v>0</v>
      </c>
      <c r="CC29" s="224">
        <f t="shared" si="83"/>
        <v>0</v>
      </c>
      <c r="CD29" s="224">
        <f>IF(OR(CC29=1,CD28=0),0,IF(AD29=0,0,IF(AD29&lt;NMaxSiègeEquipe*(1+(100-Remplissage_du_brin_montant)*0.005)+1,IF(BD29&lt;Durée_maximale_d_évacuation,1,0),0)))</f>
        <v>0</v>
      </c>
      <c r="CE29" s="224">
        <f>IF(OR(CD29=1,CE28=0),0,IF(AE29=0,0,IF(AE29&lt;NMaxSiègeEquipe*(1+(100-Remplissage_du_brin_montant)*0.005)+1,IF(BE29&lt;Durée_maximale_d_évacuation,1,0),0)))</f>
        <v>0</v>
      </c>
      <c r="CF29" s="224">
        <f>IF(OR(CE29=1,CF28=0),0,IF(AF29=0,0,IF(AF29&lt;NMaxSiègeEquipe*(1+(100-Remplissage_du_brin_montant)*0.005)+1,IF(BF29&lt;Durée_maximale_d_évacuation,1,0),0)))</f>
        <v>0</v>
      </c>
      <c r="CG29" s="224">
        <f>IF(SUM(BJ29:CF29)&gt;0,0,IF(AG29=0,0,IF(AG29&lt;NMaxSiègeEquipe*(1+(100-Remplissage_du_brin_montant)*0.005)+1,IF(BG29&lt;Durée_maximale_d_évacuation,1,0),0)))</f>
        <v>0</v>
      </c>
      <c r="CH29" s="225"/>
      <c r="CI29" s="225"/>
      <c r="CJ29" s="332">
        <f t="shared" si="2"/>
        <v>0</v>
      </c>
      <c r="CK29" s="236">
        <f t="shared" si="3"/>
        <v>0</v>
      </c>
      <c r="CL29" s="238">
        <f t="shared" si="4"/>
        <v>0</v>
      </c>
      <c r="CM29" s="224">
        <f>IF(Remplissage_du_brin_montant=0,0,IF(23&gt;NBPylône,"",IF(SUM(BJ29:CF29)=1,CM28,CM28+1)))</f>
        <v>0</v>
      </c>
      <c r="CN29" s="17"/>
      <c r="CO29" s="236">
        <f>IF(C29=0,0,IF(ROUNDDOWN(SUM($C$6:C29)/Espacement_Véhicules+1,0)&gt;NMaxSiègeEquipe*(1+(100-Remplissage_du_brin_descendant)*0.005),NMaxSiègeEquipe*(1+(100-Remplissage_du_brin_descendant)*0.005) +1,ROUNDDOWN(SUM($C$6:C29)/Espacement_Véhicules+1,0)))</f>
        <v>0</v>
      </c>
      <c r="CP29" s="236">
        <f>IF($C29=0,0,IF(ROUNDDOWN(SUM($C$7:C29)/Espacement_Véhicules+1,0)&gt;NMaxSiègeEquipe*(1+(100-Remplissage_du_brin_descendant)*0.005),NMaxSiègeEquipe*(1+(100-Remplissage_du_brin_descendant)*0.005) +1,ROUNDDOWN(SUM($C$7:C29)/Espacement_Véhicules+1,0)))</f>
        <v>0</v>
      </c>
      <c r="CQ29" s="236">
        <f>IF($C29=0,0,IF(ROUNDDOWN(SUM($C$8:C29)/Espacement_Véhicules+1,0)&gt;NMaxSiègeEquipe*(1+(100-Remplissage_du_brin_descendant)*0.005),NMaxSiègeEquipe*(1+(100-Remplissage_du_brin_descendant)*0.005) +1,ROUNDDOWN(SUM($C$8:C29)/Espacement_Véhicules+1,0)))</f>
        <v>0</v>
      </c>
      <c r="CR29" s="236">
        <f>IF($C29=0,0,IF(ROUNDDOWN(SUM($C$9:C29)/Espacement_Véhicules+1,0)&gt;NMaxSiègeEquipe*(1+(100-Remplissage_du_brin_descendant)*0.005),NMaxSiègeEquipe*(1+(100-Remplissage_du_brin_descendant)*0.005) +1,ROUNDDOWN(SUM($C$9:C29)/Espacement_Véhicules+1,0)))</f>
        <v>0</v>
      </c>
      <c r="CS29" s="236">
        <f>IF($C29=0,0,IF(ROUNDDOWN(SUM($C$10:C29)/Espacement_Véhicules+1,0)&gt;NMaxSiègeEquipe*(1+(100-Remplissage_du_brin_descendant)*0.005),NMaxSiègeEquipe*(1+(100-Remplissage_du_brin_descendant)*0.005) +1,ROUNDDOWN(SUM($C$10:C29)/Espacement_Véhicules+1,0)))</f>
        <v>0</v>
      </c>
      <c r="CT29" s="236">
        <f>IF($C29=0,0,IF(ROUNDDOWN(SUM($C$11:C29)/Espacement_Véhicules+1,0)&gt;NMaxSiègeEquipe*(1+(100-Remplissage_du_brin_descendant)*0.005),NMaxSiègeEquipe*(1+(100-Remplissage_du_brin_descendant)*0.005) +1,ROUNDDOWN(SUM($C$11:C29)/Espacement_Véhicules+1,0)))</f>
        <v>0</v>
      </c>
      <c r="CU29" s="236">
        <f>IF($C29=0,0,IF(ROUNDDOWN(SUM($C$12:C29)/Espacement_Véhicules+1,0)&gt;NMaxSiègeEquipe*(1+(100-Remplissage_du_brin_descendant)*0.005),NMaxSiègeEquipe*(1+(100-Remplissage_du_brin_descendant)*0.005) +1,ROUNDDOWN(SUM($C$12:C29)/Espacement_Véhicules+1,0)))</f>
        <v>0</v>
      </c>
      <c r="CV29" s="236">
        <f>IF($C29=0,0,IF(ROUNDDOWN(SUM($C$13:C29)/Espacement_Véhicules+1,0)&gt;NMaxSiègeEquipe*(1+(100-Remplissage_du_brin_descendant)*0.005),NMaxSiègeEquipe*(1+(100-Remplissage_du_brin_descendant)*0.005) +1,ROUNDDOWN(SUM($C$13:C29)/Espacement_Véhicules+1,0)))</f>
        <v>0</v>
      </c>
      <c r="CW29" s="236">
        <f>IF($C29=0,0,IF(ROUNDDOWN(SUM($C$14:C29)/Espacement_Véhicules+1,0)&gt;NMaxSiègeEquipe*(1+(100-Remplissage_du_brin_descendant)*0.005),NMaxSiègeEquipe*(1+(100-Remplissage_du_brin_descendant)*0.005) +1,ROUNDDOWN(SUM($C$14:C29)/Espacement_Véhicules+1,0)))</f>
        <v>0</v>
      </c>
      <c r="CX29" s="236">
        <f>IF($C29=0,0,IF(ROUNDDOWN(SUM($C$15:C29)/Espacement_Véhicules+1,0)&gt;NMaxSiègeEquipe*(1+(100-Remplissage_du_brin_descendant)*0.005),NMaxSiègeEquipe*(1+(100-Remplissage_du_brin_descendant)*0.005) +1,ROUNDDOWN(SUM($C$15:C29)/Espacement_Véhicules+1,0)))</f>
        <v>0</v>
      </c>
      <c r="CY29" s="236">
        <f>IF($C29=0,0,IF(ROUNDDOWN(SUM($C$16:C29)/Espacement_Véhicules+1,0)&gt;NMaxSiègeEquipe*(1+(100-Remplissage_du_brin_descendant)*0.005),NMaxSiègeEquipe*(1+(100-Remplissage_du_brin_descendant)*0.005) +1,ROUNDDOWN(SUM($C$16:C29)/Espacement_Véhicules+1,0)))</f>
        <v>0</v>
      </c>
      <c r="CZ29" s="236">
        <f>IF($C29=0,0,IF(ROUNDDOWN(SUM($C$17:C29)/Espacement_Véhicules+1,0)&gt;NMaxSiègeEquipe*(1+(100-Remplissage_du_brin_descendant)*0.005),NMaxSiègeEquipe*(1+(100-Remplissage_du_brin_descendant)*0.005) +1,ROUNDDOWN(SUM($C$17:C29)/Espacement_Véhicules+1,0)))</f>
        <v>0</v>
      </c>
      <c r="DA29" s="236">
        <f>IF($C29=0,0,IF(ROUNDDOWN(SUM($C$18:C29)/Espacement_Véhicules+1,0)&gt;NMaxSiègeEquipe*(1+(100-Remplissage_du_brin_descendant)*0.005),NMaxSiègeEquipe*(1+(100-Remplissage_du_brin_descendant)*0.005) +1,ROUNDDOWN(SUM($C$18:C29)/Espacement_Véhicules+1,0)))</f>
        <v>0</v>
      </c>
      <c r="DB29" s="236">
        <f>IF($C29=0,0,IF(ROUNDDOWN(SUM($C$19:C29)/Espacement_Véhicules+1,0)&gt;NMaxSiègeEquipe*(1+(100-Remplissage_du_brin_descendant)*0.005),NMaxSiègeEquipe*(1+(100-Remplissage_du_brin_descendant)*0.005) +1,ROUNDDOWN(SUM($C$19:C29)/Espacement_Véhicules+1,0)))</f>
        <v>0</v>
      </c>
      <c r="DC29" s="236">
        <f>IF($C29=0,0,IF(ROUNDDOWN(SUM($C$20:C29)/Espacement_Véhicules+1,0)&gt;NMaxSiègeEquipe*(1+(100-Remplissage_du_brin_descendant)*0.005),NMaxSiègeEquipe*(1+(100-Remplissage_du_brin_descendant)*0.005) +1,ROUNDDOWN(SUM($C$20:C29)/Espacement_Véhicules+1,0)))</f>
        <v>0</v>
      </c>
      <c r="DD29" s="236">
        <f>IF($C29=0,0,IF(ROUNDDOWN(SUM($C$21:C29)/Espacement_Véhicules+1,0)&gt;NMaxSiègeEquipe*(1+(100-Remplissage_du_brin_descendant)*0.005),NMaxSiègeEquipe*(1+(100-Remplissage_du_brin_descendant)*0.005) +1,ROUNDDOWN(SUM($C$21:C29)/Espacement_Véhicules+1,0)))</f>
        <v>0</v>
      </c>
      <c r="DE29" s="236">
        <f>IF($C29=0,0,IF(ROUNDDOWN(SUM($C$22:C29)/Espacement_Véhicules+1,0)&gt;NMaxSiègeEquipe*(1+(100-Remplissage_du_brin_descendant)*0.005),NMaxSiègeEquipe*(1+(100-Remplissage_du_brin_descendant)*0.005) +1,ROUNDDOWN(SUM($C$22:C29)/Espacement_Véhicules+1,0)))</f>
        <v>0</v>
      </c>
      <c r="DF29" s="236">
        <f>IF($C29=0,0,IF(ROUNDDOWN(SUM($C$23:C29)/Espacement_Véhicules+1,0)&gt;NMaxSiègeEquipe*(1+(100-Remplissage_du_brin_descendant)*0.005),NMaxSiègeEquipe*(1+(100-Remplissage_du_brin_descendant)*0.005) +1,ROUNDDOWN(SUM($C$23:C29)/Espacement_Véhicules+1,0)))</f>
        <v>0</v>
      </c>
      <c r="DG29" s="236">
        <f>IF($C29=0,0,IF(ROUNDDOWN(SUM($C$24:C29)/Espacement_Véhicules+1,0)&gt;NMaxSiègeEquipe*(1+(100-Remplissage_du_brin_descendant)*0.005),NMaxSiègeEquipe*(1+(100-Remplissage_du_brin_descendant)*0.005) +1,ROUNDDOWN(SUM($C$24:C29)/Espacement_Véhicules+1,0)))</f>
        <v>0</v>
      </c>
      <c r="DH29" s="236">
        <f>IF($C29=0,0,IF(ROUNDDOWN(SUM($C$25:C29)/Espacement_Véhicules+1,0)&gt;NMaxSiègeEquipe*(1+(100-Remplissage_du_brin_descendant)*0.005),NMaxSiègeEquipe*(1+(100-Remplissage_du_brin_descendant)*0.005) +1,ROUNDDOWN(SUM($C$25:C29)/Espacement_Véhicules+1,0)))</f>
        <v>0</v>
      </c>
      <c r="DI29" s="236">
        <f>IF($C29=0,0,IF(ROUNDDOWN(SUM($C$26:C29)/Espacement_Véhicules+1,0)&gt;NMaxSiègeEquipe*(1+(100-Remplissage_du_brin_descendant)*0.005),NMaxSiègeEquipe*(1+(100-Remplissage_du_brin_descendant)*0.005) +1,ROUNDDOWN(SUM($C$26:C29)/Espacement_Véhicules+1,0)))</f>
        <v>0</v>
      </c>
      <c r="DJ29" s="236">
        <f>IF($C29=0,0,IF(ROUNDDOWN(SUM($C$27:C29)/Espacement_Véhicules+1,0)&gt;NMaxSiègeEquipe*(1+(100-Remplissage_du_brin_descendant)*0.005),NMaxSiègeEquipe*(1+(100-Remplissage_du_brin_descendant)*0.005) +1,ROUNDDOWN(SUM($C$27:C29)/Espacement_Véhicules+1,0)))</f>
        <v>0</v>
      </c>
      <c r="DK29" s="236">
        <f>IF($C29=0,0,IF(ROUNDDOWN(SUM($C$28:C29)/Espacement_Véhicules+1,0)&gt;NMaxSiègeEquipe*(1+(100-Remplissage_du_brin_descendant)*0.005),NMaxSiègeEquipe*(1+(100-Remplissage_du_brin_descendant)*0.005) +1,ROUNDDOWN(SUM($C$28:C29)/Espacement_Véhicules+1,0)))</f>
        <v>0</v>
      </c>
      <c r="DL29" s="236">
        <f>IF($C29=0,0,ROUNDDOWN($C29/Espacement_Véhicules+1,0))</f>
        <v>0</v>
      </c>
      <c r="DM29" s="350"/>
      <c r="DN29" s="350"/>
      <c r="DO29" s="356">
        <f t="shared" si="5"/>
        <v>0</v>
      </c>
      <c r="DP29" s="356">
        <f t="shared" si="12"/>
        <v>0</v>
      </c>
      <c r="DQ29" s="356">
        <f t="shared" si="16"/>
        <v>0</v>
      </c>
      <c r="DR29" s="356">
        <f t="shared" si="20"/>
        <v>0</v>
      </c>
      <c r="DS29" s="356">
        <f t="shared" si="24"/>
        <v>0</v>
      </c>
      <c r="DT29" s="356">
        <f t="shared" si="28"/>
        <v>0</v>
      </c>
      <c r="DU29" s="356">
        <f t="shared" si="32"/>
        <v>0</v>
      </c>
      <c r="DV29" s="356">
        <f t="shared" si="36"/>
        <v>0</v>
      </c>
      <c r="DW29" s="356">
        <f t="shared" si="40"/>
        <v>0</v>
      </c>
      <c r="DX29" s="356">
        <f t="shared" si="44"/>
        <v>0</v>
      </c>
      <c r="DY29" s="356">
        <f t="shared" si="48"/>
        <v>0</v>
      </c>
      <c r="DZ29" s="356">
        <f t="shared" si="52"/>
        <v>0</v>
      </c>
      <c r="EA29" s="356">
        <f t="shared" si="56"/>
        <v>0</v>
      </c>
      <c r="EB29" s="356">
        <f t="shared" si="60"/>
        <v>0</v>
      </c>
      <c r="EC29" s="356">
        <f t="shared" si="64"/>
        <v>0</v>
      </c>
      <c r="ED29" s="356">
        <f t="shared" si="68"/>
        <v>0</v>
      </c>
      <c r="EE29" s="356">
        <f t="shared" si="72"/>
        <v>0</v>
      </c>
      <c r="EF29" s="356">
        <f t="shared" si="76"/>
        <v>0</v>
      </c>
      <c r="EG29" s="356">
        <f t="shared" si="80"/>
        <v>0</v>
      </c>
      <c r="EH29" s="356">
        <f t="shared" si="84"/>
        <v>0</v>
      </c>
      <c r="EI29" s="356">
        <f>IF($C29=0,0,IF(EI28+$F29*(DI29-DI28)*Remplissage_du_brin_descendant/100+$H29&gt;=Durée_maximale_d_évacuation,Durée_maximale_d_évacuation,IF(EI28+$F29*(DI29-DI28)*Remplissage_du_brin_descendant/100+$G29+$F30*(DI30-DI29)*Remplissage_du_brin_descendant/100+$H30&gt;=Durée_maximale_d_évacuation,EI28+$F29*(DI29-DI28)*Remplissage_du_brin_descendant/100+$H29,EI28+$F29*(DI29-DI28)*Remplissage_du_brin_descendant/100+$G29)))</f>
        <v>0</v>
      </c>
      <c r="EJ29" s="356">
        <f>IF($C29=0,0,IF(EJ28+$F29*(DJ29-DJ28)*Remplissage_du_brin_descendant/100+$H29&gt;=Durée_maximale_d_évacuation,Durée_maximale_d_évacuation,IF(EJ28+$F29*(DJ29-DJ28)*Remplissage_du_brin_descendant/100+$G29+$F30*(DJ30-DJ29)*Remplissage_du_brin_descendant/100+$H30&gt;=Durée_maximale_d_évacuation,EJ28+$F29*(DJ29-DJ28)*Remplissage_du_brin_descendant/100+$H29,EJ28+$F29*(DJ29-DJ28)*Remplissage_du_brin_descendant/100+$G29)))</f>
        <v>0</v>
      </c>
      <c r="EK29" s="356">
        <f>IF($C29=0,0,IF(EK28+$F29*(DK29-DK28)*Remplissage_du_brin_descendant/100+$H29&gt;=Durée_maximale_d_évacuation,Durée_maximale_d_évacuation,IF(EK28+$F29*(DK29-DK28)*Remplissage_du_brin_descendant/100+$G29+$F30*(DK30-DK29)*Remplissage_du_brin_descendant/100+$H30&gt;=Durée_maximale_d_évacuation,EK28+$F29*(DK29-DK28)*Remplissage_du_brin_descendant/100+$H29,EK28+$F29*(DK29-DK28)*Remplissage_du_brin_descendant/100+$G29)))</f>
        <v>0</v>
      </c>
      <c r="EL29" s="356">
        <f>IF($C29=0,0,IF($E29+$F29*DL29*Remplissage_du_brin_descendant/100+$G29+($F30-$F29)*DL30*Remplissage_du_brin_descendant/100+$H30&gt;=Durée_maximale_d_évacuation,$E29+$F29*DL29*Remplissage_du_brin_descendant/100+$H29,$E29+$F29*DL29*Remplissage_du_brin_descendant/100+$G29))</f>
        <v>0</v>
      </c>
      <c r="EM29" s="357"/>
      <c r="EN29" s="357"/>
      <c r="EO29" s="224">
        <f t="shared" si="6"/>
        <v>0</v>
      </c>
      <c r="EP29" s="224">
        <f t="shared" si="13"/>
        <v>0</v>
      </c>
      <c r="EQ29" s="224">
        <f t="shared" si="17"/>
        <v>0</v>
      </c>
      <c r="ER29" s="224">
        <f t="shared" si="21"/>
        <v>0</v>
      </c>
      <c r="ES29" s="224">
        <f t="shared" si="25"/>
        <v>0</v>
      </c>
      <c r="ET29" s="224">
        <f t="shared" si="29"/>
        <v>0</v>
      </c>
      <c r="EU29" s="224">
        <f t="shared" si="33"/>
        <v>0</v>
      </c>
      <c r="EV29" s="224">
        <f t="shared" si="37"/>
        <v>0</v>
      </c>
      <c r="EW29" s="224">
        <f t="shared" si="41"/>
        <v>0</v>
      </c>
      <c r="EX29" s="224">
        <f t="shared" si="45"/>
        <v>0</v>
      </c>
      <c r="EY29" s="224">
        <f t="shared" si="49"/>
        <v>0</v>
      </c>
      <c r="EZ29" s="224">
        <f t="shared" si="53"/>
        <v>0</v>
      </c>
      <c r="FA29" s="224">
        <f t="shared" si="57"/>
        <v>0</v>
      </c>
      <c r="FB29" s="224">
        <f t="shared" si="61"/>
        <v>0</v>
      </c>
      <c r="FC29" s="224">
        <f t="shared" si="65"/>
        <v>0</v>
      </c>
      <c r="FD29" s="224">
        <f t="shared" si="69"/>
        <v>0</v>
      </c>
      <c r="FE29" s="224">
        <f t="shared" si="73"/>
        <v>0</v>
      </c>
      <c r="FF29" s="224">
        <f t="shared" si="77"/>
        <v>0</v>
      </c>
      <c r="FG29" s="224">
        <f t="shared" si="81"/>
        <v>0</v>
      </c>
      <c r="FH29" s="224">
        <f t="shared" si="85"/>
        <v>0</v>
      </c>
      <c r="FI29" s="224">
        <f>IF(OR(FH29=1,FI28=0),0,IF(DI29=0,0,IF(DI29&lt;NMaxSiègeEquipe*(1+(100-Remplissage_du_brin_descendant)*0.005)+1,IF(EI29&lt;Durée_maximale_d_évacuation,1,0),0)))</f>
        <v>0</v>
      </c>
      <c r="FJ29" s="224">
        <f>IF(OR(FI29=1,FJ28=0),0,IF(DJ29=0,0,IF(DJ29&lt;NMaxSiègeEquipe*(1+(100-Remplissage_du_brin_descendant)*0.005)+1,IF(EJ29&lt;Durée_maximale_d_évacuation,1,0),0)))</f>
        <v>0</v>
      </c>
      <c r="FK29" s="224">
        <f>IF(OR(FJ29=1,FK28=0),0,IF(DK29=0,0,IF(DK29&lt;NMaxSiègeEquipe*(1+(100-Remplissage_du_brin_descendant)*0.005)+1,IF(EK29&lt;Durée_maximale_d_évacuation,1,0),0)))</f>
        <v>0</v>
      </c>
      <c r="FL29" s="224">
        <f>IF(SUM(EO29:FK29)&gt;0,0,IF(DL29=0,0,IF(DL29&lt;NMaxSiègeEquipe*(1+(100-Remplissage_du_brin_descendant)*0.005)+1,IF(EL29&lt;Durée_maximale_d_évacuation,1,0),0)))</f>
        <v>0</v>
      </c>
      <c r="FM29" s="225"/>
      <c r="FN29" s="225"/>
      <c r="FO29" s="332">
        <f t="shared" si="7"/>
        <v>0</v>
      </c>
      <c r="FP29" s="236">
        <f t="shared" si="8"/>
        <v>0</v>
      </c>
      <c r="FQ29" s="238">
        <f t="shared" si="9"/>
        <v>0</v>
      </c>
      <c r="FR29" s="224">
        <f>IF(Remplissage_du_brin_descendant=0,0,IF(23&gt;NBPylône,"",IF(SUM(EO29:FK29)=1,FR28,FR28+1)))</f>
        <v>0</v>
      </c>
    </row>
    <row r="30" spans="1:174" x14ac:dyDescent="0.2">
      <c r="A30" s="62" t="str">
        <f>'     2-DL     '!C32</f>
        <v/>
      </c>
      <c r="B30" s="65" t="str">
        <f>'     2-DL     '!D32</f>
        <v/>
      </c>
      <c r="C30" s="63">
        <f>IF(B30="",0,'     2-DL     '!E32)</f>
        <v>0</v>
      </c>
      <c r="D30" s="66"/>
      <c r="E30" s="4">
        <f>IF(C30=0,0,'     2-DL     '!F32)</f>
        <v>0</v>
      </c>
      <c r="F30" s="4">
        <f>IF(C30=0,0,IF(S_TempsEvacuationVehicule=1,A_TempsEvacuationVéhicule,'     2-DL     '!H32))</f>
        <v>0</v>
      </c>
      <c r="G30" s="4">
        <f>IF(C30=0,0,IF(S_TempsAccèsPortéeSuivante=1,A_TempsAccèsPortéeSuivante,'     2-DL     '!J32))</f>
        <v>0</v>
      </c>
      <c r="H30" s="4">
        <f>IF(C30=0,0,'     2-DL     '!L32)</f>
        <v>0</v>
      </c>
      <c r="I30" s="66"/>
      <c r="J30" s="236">
        <f>IF($C30=0,0,IF(ROUNDDOWN(SUM($C$6:C30)/Espacement_Véhicules+1,0)&gt;NMaxSiègeEquipe*(1+(100-Remplissage_du_brin_montant)*0.005),NMaxSiègeEquipe*(1+(100-Remplissage_du_brin_montant)*0.005) +1,ROUNDDOWN(SUM($C$6:C30)/Espacement_Véhicules+1,0)))</f>
        <v>0</v>
      </c>
      <c r="K30" s="236">
        <f>IF($C30=0,0,IF(ROUNDDOWN(SUM($C$7:C30)/Espacement_Véhicules+1,0)&gt;NMaxSiègeEquipe*(1+(100-Remplissage_du_brin_montant)*0.005),NMaxSiègeEquipe*(1+(100-Remplissage_du_brin_montant)*0.005) +1,ROUNDDOWN(SUM($C$7:C30)/Espacement_Véhicules+1,0)))</f>
        <v>0</v>
      </c>
      <c r="L30" s="236">
        <f>IF($C30=0,0,IF(ROUNDDOWN(SUM($C$8:C30)/Espacement_Véhicules+1,0)&gt;NMaxSiègeEquipe*(1+(100-Remplissage_du_brin_montant)*0.005),NMaxSiègeEquipe*(1+(100-Remplissage_du_brin_montant)*0.005) +1,ROUNDDOWN(SUM($C$8:C30)/Espacement_Véhicules+1,0)))</f>
        <v>0</v>
      </c>
      <c r="M30" s="236">
        <f>IF($C30=0,0,IF(ROUNDDOWN(SUM($C$9:C30)/Espacement_Véhicules+1,0)&gt;NMaxSiègeEquipe*(1+(100-Remplissage_du_brin_montant)*0.005),NMaxSiègeEquipe*(1+(100-Remplissage_du_brin_montant)*0.005) +1,ROUNDDOWN(SUM($C$9:C30)/Espacement_Véhicules+1,0)))</f>
        <v>0</v>
      </c>
      <c r="N30" s="236">
        <f>IF($C30=0,0,IF(ROUNDDOWN(SUM($C10:$C30)/Espacement_Véhicules+1,0)&gt;NMaxSiègeEquipe*(1+(100-Remplissage_du_brin_montant)*0.005),NMaxSiègeEquipe +1,ROUNDDOWN(SUM($C10:$C30)/Espacement_Véhicules+1,0)))</f>
        <v>0</v>
      </c>
      <c r="O30" s="236">
        <f>IF($C30=0,0,IF(ROUNDDOWN(SUM($C29:C30)/Espacement_Véhicules+1,0)&gt;NMaxSiègeEquipe*(1+(100-Remplissage_du_brin_montant)*0.005),NMaxSiègeEquipe*(1+(100-Remplissage_du_brin_montant)*0.005) +1,ROUNDDOWN(SUM($C$11:C30)/Espacement_Véhicules+1,0)))</f>
        <v>0</v>
      </c>
      <c r="P30" s="236">
        <f>IF($C30=0,0,IF(ROUNDDOWN(SUM($C$12:C30)/Espacement_Véhicules+1,0)&gt;NMaxSiègeEquipe*(1+(100-Remplissage_du_brin_montant)*0.005),NMaxSiègeEquipe*(1+(100-Remplissage_du_brin_montant)*0.005) +1,ROUNDDOWN(SUM($C$12:C30)/Espacement_Véhicules+1,0)))</f>
        <v>0</v>
      </c>
      <c r="Q30" s="236">
        <f>IF($C30=0,0,IF(ROUNDDOWN(SUM($C$13:C30)/Espacement_Véhicules+1,0)&gt;NMaxSiègeEquipe*(1+(100-Remplissage_du_brin_montant)*0.005),NMaxSiègeEquipe*(1+(100-Remplissage_du_brin_montant)*0.005) +1,ROUNDDOWN(SUM($C$13:C30)/Espacement_Véhicules+1,0)))</f>
        <v>0</v>
      </c>
      <c r="R30" s="236">
        <f>IF($C30=0,0,IF(ROUNDDOWN(SUM($C$14:C30)/Espacement_Véhicules+1,0)&gt;NMaxSiègeEquipe*(1+(100-Remplissage_du_brin_montant)*0.005),NMaxSiègeEquipe*(1+(100-Remplissage_du_brin_montant)*0.005) +1,ROUNDDOWN(SUM($C$14:C30)/Espacement_Véhicules+1,0)))</f>
        <v>0</v>
      </c>
      <c r="S30" s="236">
        <f>IF($C30=0,0,IF(ROUNDDOWN(SUM($C$15:C30)/Espacement_Véhicules+1,0)&gt;NMaxSiègeEquipe*(1+(100-Remplissage_du_brin_montant)*0.005),NMaxSiègeEquipe*(1+(100-Remplissage_du_brin_montant)*0.005) +1,ROUNDDOWN(SUM($C$15:C30)/Espacement_Véhicules+1,0)))</f>
        <v>0</v>
      </c>
      <c r="T30" s="236">
        <f>IF($C30=0,0,IF(ROUNDDOWN(SUM($C$16:C30)/Espacement_Véhicules+1,0)&gt;NMaxSiègeEquipe*(1+(100-Remplissage_du_brin_montant)*0.005),NMaxSiègeEquipe*(1+(100-Remplissage_du_brin_montant)*0.005) +1,ROUNDDOWN(SUM($C$16:C30)/Espacement_Véhicules+1,0)))</f>
        <v>0</v>
      </c>
      <c r="U30" s="236">
        <f>IF($C30=0,0,IF(ROUNDDOWN(SUM($C$17:C30)/Espacement_Véhicules+1,0)&gt;NMaxSiègeEquipe*(1+(100-Remplissage_du_brin_montant)*0.005),NMaxSiègeEquipe*(1+(100-Remplissage_du_brin_montant)*0.005) +1,ROUNDDOWN(SUM($C$17:C30)/Espacement_Véhicules+1,0)))</f>
        <v>0</v>
      </c>
      <c r="V30" s="236">
        <f>IF($C30=0,0,IF(ROUNDDOWN(SUM($C$18:C30)/Espacement_Véhicules+1,0)&gt;NMaxSiègeEquipe*(1+(100-Remplissage_du_brin_montant)*0.005),NMaxSiègeEquipe*(1+(100-Remplissage_du_brin_montant)*0.005) +1,ROUNDDOWN(SUM($C$18:C30)/Espacement_Véhicules+1,0)))</f>
        <v>0</v>
      </c>
      <c r="W30" s="236">
        <f>IF($C30=0,0,IF(ROUNDDOWN(SUM($C$19:C30)/Espacement_Véhicules+1,0)&gt;NMaxSiègeEquipe*(1+(100-Remplissage_du_brin_montant)*0.005),NMaxSiègeEquipe*(1+(100-Remplissage_du_brin_montant)*0.005) +1,ROUNDDOWN(SUM($C$19:C30)/Espacement_Véhicules+1,0)))</f>
        <v>0</v>
      </c>
      <c r="X30" s="236">
        <f>IF($C30=0,0,IF(ROUNDDOWN(SUM($C$20:C30)/Espacement_Véhicules+1,0)&gt;NMaxSiègeEquipe*(1+(100-Remplissage_du_brin_montant)*0.005),NMaxSiègeEquipe*(1+(100-Remplissage_du_brin_montant)*0.005) +1,ROUNDDOWN(SUM($C$20:C30)/Espacement_Véhicules+1,0)))</f>
        <v>0</v>
      </c>
      <c r="Y30" s="236">
        <f>IF($C30=0,0,IF(ROUNDDOWN(SUM($C$21:C30)/Espacement_Véhicules+1,0)&gt;NMaxSiègeEquipe*(1+(100-Remplissage_du_brin_montant)*0.005),NMaxSiègeEquipe*(1+(100-Remplissage_du_brin_montant)*0.005) +1,ROUNDDOWN(SUM($C$21:C30)/Espacement_Véhicules+1,0)))</f>
        <v>0</v>
      </c>
      <c r="Z30" s="236">
        <f>IF($C30=0,0,IF(ROUNDDOWN(SUM($C$22:C30)/Espacement_Véhicules+1,0)&gt;NMaxSiègeEquipe*(1+(100-Remplissage_du_brin_montant)*0.005),NMaxSiègeEquipe*(1+(100-Remplissage_du_brin_montant)*0.005) +1,ROUNDDOWN(SUM($C$22:C30)/Espacement_Véhicules+1,0)))</f>
        <v>0</v>
      </c>
      <c r="AA30" s="236">
        <f>IF($C30=0,0,IF(ROUNDDOWN(SUM($C$23:C30)/Espacement_Véhicules+1,0)&gt;NMaxSiègeEquipe*(1+(100-Remplissage_du_brin_montant)*0.005),NMaxSiègeEquipe*(1+(100-Remplissage_du_brin_montant)*0.005) +1,ROUNDDOWN(SUM($C$23:C30)/Espacement_Véhicules+1,0)))</f>
        <v>0</v>
      </c>
      <c r="AB30" s="236">
        <f>IF($C30=0,0,IF(ROUNDDOWN(SUM($C$24:C30)/Espacement_Véhicules+1,0)&gt;NMaxSiègeEquipe*(1+(100-Remplissage_du_brin_montant)*0.005),NMaxSiègeEquipe*(1+(100-Remplissage_du_brin_montant)*0.005)+1,ROUNDDOWN(SUM($C$24:C30)/Espacement_Véhicules+1,0)))</f>
        <v>0</v>
      </c>
      <c r="AC30" s="236">
        <f>IF($C30=0,0,IF(ROUNDDOWN(SUM($C$25:C30)/Espacement_Véhicules+1,0)&gt;NMaxSiègeEquipe*(1+(100-Remplissage_du_brin_montant)*0.005),NMaxSiègeEquipe*(1+(100-Remplissage_du_brin_montant)*0.005) +1,ROUNDDOWN(SUM($C$25:C30)/Espacement_Véhicules+1,0)))</f>
        <v>0</v>
      </c>
      <c r="AD30" s="236">
        <f>IF($C30=0,0,IF(ROUNDDOWN(SUM($C$26:C30)/Espacement_Véhicules+1,0)&gt;NMaxSiègeEquipe*(1+(100-Remplissage_du_brin_montant)*0.005),NMaxSiègeEquipe*(1+(100-Remplissage_du_brin_montant)*0.005) +1,ROUNDDOWN(SUM($C$26:C30)/Espacement_Véhicules+1,0)))</f>
        <v>0</v>
      </c>
      <c r="AE30" s="236">
        <f>IF($C30=0,0,IF(ROUNDDOWN(SUM($C$27:C30)/Espacement_Véhicules+1,0)&gt;NMaxSiègeEquipe*(1+(100-Remplissage_du_brin_montant)*0.005),NMaxSiègeEquipe*(1+(100-Remplissage_du_brin_montant)*0.005) +1,ROUNDDOWN(SUM($C$27:C30)/Espacement_Véhicules+1,0)))</f>
        <v>0</v>
      </c>
      <c r="AF30" s="236">
        <f>IF($C30=0,0,IF(ROUNDDOWN(SUM($C$28:C30)/Espacement_Véhicules+1,0)&gt;NMaxSiègeEquipe*(1+(100-Remplissage_du_brin_montant)*0.005),NMaxSiègeEquipe*(1+(100-Remplissage_du_brin_montant)*0.005) +1,ROUNDDOWN(SUM($C$28:C30)/Espacement_Véhicules+1,0)))</f>
        <v>0</v>
      </c>
      <c r="AG30" s="236">
        <f>IF($C30=0,0,IF(ROUNDDOWN(SUM($C$29:C30)/Espacement_Véhicules+1,0)&gt;NMaxSiègeEquipe*(1+(100-Remplissage_du_brin_montant)*0.005),NMaxSiègeEquipe*(1+(100-Remplissage_du_brin_montant)*0.005) +1,ROUNDDOWN(SUM($C$29:C30)/Espacement_Véhicules+1,0)))</f>
        <v>0</v>
      </c>
      <c r="AH30" s="236">
        <f>IF($C30=0,0,ROUNDDOWN($C30/Espacement_Véhicules+1,0))</f>
        <v>0</v>
      </c>
      <c r="AI30" s="350"/>
      <c r="AJ30" s="356">
        <f t="shared" si="0"/>
        <v>0</v>
      </c>
      <c r="AK30" s="356">
        <f t="shared" si="10"/>
        <v>0</v>
      </c>
      <c r="AL30" s="356">
        <f t="shared" si="14"/>
        <v>0</v>
      </c>
      <c r="AM30" s="356">
        <f t="shared" si="18"/>
        <v>0</v>
      </c>
      <c r="AN30" s="356">
        <f t="shared" si="22"/>
        <v>0</v>
      </c>
      <c r="AO30" s="356">
        <f t="shared" si="26"/>
        <v>0</v>
      </c>
      <c r="AP30" s="356">
        <f t="shared" si="30"/>
        <v>0</v>
      </c>
      <c r="AQ30" s="356">
        <f t="shared" si="34"/>
        <v>0</v>
      </c>
      <c r="AR30" s="356">
        <f t="shared" si="38"/>
        <v>0</v>
      </c>
      <c r="AS30" s="356">
        <f t="shared" si="42"/>
        <v>0</v>
      </c>
      <c r="AT30" s="356">
        <f t="shared" si="46"/>
        <v>0</v>
      </c>
      <c r="AU30" s="356">
        <f t="shared" si="50"/>
        <v>0</v>
      </c>
      <c r="AV30" s="356">
        <f t="shared" si="54"/>
        <v>0</v>
      </c>
      <c r="AW30" s="356">
        <f t="shared" si="58"/>
        <v>0</v>
      </c>
      <c r="AX30" s="356">
        <f t="shared" si="62"/>
        <v>0</v>
      </c>
      <c r="AY30" s="356">
        <f t="shared" si="66"/>
        <v>0</v>
      </c>
      <c r="AZ30" s="356">
        <f t="shared" si="70"/>
        <v>0</v>
      </c>
      <c r="BA30" s="356">
        <f t="shared" si="74"/>
        <v>0</v>
      </c>
      <c r="BB30" s="356">
        <f t="shared" si="78"/>
        <v>0</v>
      </c>
      <c r="BC30" s="356">
        <f t="shared" si="82"/>
        <v>0</v>
      </c>
      <c r="BD30" s="356">
        <f>IF($C30=0,0,IF(BD29+$F30*(AD30-AD29)*Remplissage_du_brin_montant/100+$H30&gt;=Durée_maximale_d_évacuation,Durée_maximale_d_évacuation,IF(BD29+$F30*(AD30-AD29)*Remplissage_du_brin_montant/100+$G30+$F31*(AD31-AD30)*Remplissage_du_brin_montant/100+$H31&gt;=Durée_maximale_d_évacuation,BD29+$F30*(AD30-AD29)*Remplissage_du_brin_montant/100+$H30,BD29+$F30*(AD30-AD29)*Remplissage_du_brin_montant/100+$G30)))</f>
        <v>0</v>
      </c>
      <c r="BE30" s="356">
        <f>IF($C30=0,0,IF(BE29+$F30*(AE30-AE29)*Remplissage_du_brin_montant/100+$H30&gt;=Durée_maximale_d_évacuation,Durée_maximale_d_évacuation,IF(BE29+$F30*(AE30-AE29)*Remplissage_du_brin_montant/100+$G30+$F31*(AE31-AE30)*Remplissage_du_brin_montant/100+$H31&gt;=Durée_maximale_d_évacuation,BE29+$F30*(AE30-AE29)*Remplissage_du_brin_montant/100+$H30,BE29+$F30*(AE30-AE29)*Remplissage_du_brin_montant/100+$G30)))</f>
        <v>0</v>
      </c>
      <c r="BF30" s="356">
        <f>IF($C30=0,0,IF(BF29+$F30*(AF30-AF29)*Remplissage_du_brin_montant/100+$H30&gt;=Durée_maximale_d_évacuation,Durée_maximale_d_évacuation,IF(BF29+$F30*(AF30-AF29)*Remplissage_du_brin_montant/100+$G30+$F31*(AF31-AF30)*Remplissage_du_brin_montant/100+$H31&gt;=Durée_maximale_d_évacuation,BF29+$F30*(AF30-AF29)*Remplissage_du_brin_montant/100+$H30,BF29+$F30*(AF30-AF29)*Remplissage_du_brin_montant/100+$G30)))</f>
        <v>0</v>
      </c>
      <c r="BG30" s="356">
        <f>IF($C30=0,0,IF(BG29+$F30*(AG30-AG29)*Remplissage_du_brin_montant/100+$H30&gt;=Durée_maximale_d_évacuation,Durée_maximale_d_évacuation,IF(BG29+$F30*(AG30-AG29)*Remplissage_du_brin_montant/100+$G30+$F31*(AG31-AG30)*Remplissage_du_brin_montant/100+$H31&gt;=Durée_maximale_d_évacuation,BG29+$F30*(AG30-AG29)*Remplissage_du_brin_montant/100+$H30,BG29+$F30*(AG30-AG29)*Remplissage_du_brin_montant/100+$G30)))</f>
        <v>0</v>
      </c>
      <c r="BH30" s="356">
        <f>IF($C30=0,0,IF($E30+$F30*AH30*Remplissage_du_brin_montant/100+$G30+($F31-$F30)*AH31*Remplissage_du_brin_montant/100+$H31&gt;=Durée_maximale_d_évacuation,$E30+$F30*AH30*Remplissage_du_brin_montant/100+$H30,$E30+$F30*AH30*Remplissage_du_brin_montant/100+$G30))</f>
        <v>0</v>
      </c>
      <c r="BI30" s="357"/>
      <c r="BJ30" s="224">
        <f t="shared" si="1"/>
        <v>0</v>
      </c>
      <c r="BK30" s="224">
        <f t="shared" si="11"/>
        <v>0</v>
      </c>
      <c r="BL30" s="224">
        <f t="shared" si="15"/>
        <v>0</v>
      </c>
      <c r="BM30" s="224">
        <f t="shared" si="19"/>
        <v>0</v>
      </c>
      <c r="BN30" s="224">
        <f t="shared" si="23"/>
        <v>0</v>
      </c>
      <c r="BO30" s="224">
        <f t="shared" si="27"/>
        <v>0</v>
      </c>
      <c r="BP30" s="224">
        <f t="shared" si="31"/>
        <v>0</v>
      </c>
      <c r="BQ30" s="224">
        <f t="shared" si="35"/>
        <v>0</v>
      </c>
      <c r="BR30" s="224">
        <f t="shared" si="39"/>
        <v>0</v>
      </c>
      <c r="BS30" s="224">
        <f t="shared" si="43"/>
        <v>0</v>
      </c>
      <c r="BT30" s="224">
        <f t="shared" si="47"/>
        <v>0</v>
      </c>
      <c r="BU30" s="224">
        <f t="shared" si="51"/>
        <v>0</v>
      </c>
      <c r="BV30" s="224">
        <f t="shared" si="55"/>
        <v>0</v>
      </c>
      <c r="BW30" s="224">
        <f t="shared" si="59"/>
        <v>0</v>
      </c>
      <c r="BX30" s="224">
        <f t="shared" si="63"/>
        <v>0</v>
      </c>
      <c r="BY30" s="224">
        <f t="shared" si="67"/>
        <v>0</v>
      </c>
      <c r="BZ30" s="224">
        <f t="shared" si="71"/>
        <v>0</v>
      </c>
      <c r="CA30" s="224">
        <f t="shared" si="75"/>
        <v>0</v>
      </c>
      <c r="CB30" s="224">
        <f t="shared" si="79"/>
        <v>0</v>
      </c>
      <c r="CC30" s="224">
        <f t="shared" si="83"/>
        <v>0</v>
      </c>
      <c r="CD30" s="224">
        <f>IF(OR(CC30=1,CD29=0),0,IF(AD30=0,0,IF(AD30&lt;NMaxSiègeEquipe*(1+(100-Remplissage_du_brin_montant)*0.005)+1,IF(BD30&lt;Durée_maximale_d_évacuation,1,0),0)))</f>
        <v>0</v>
      </c>
      <c r="CE30" s="224">
        <f>IF(OR(CD30=1,CE29=0),0,IF(AE30=0,0,IF(AE30&lt;NMaxSiègeEquipe*(1+(100-Remplissage_du_brin_montant)*0.005)+1,IF(BE30&lt;Durée_maximale_d_évacuation,1,0),0)))</f>
        <v>0</v>
      </c>
      <c r="CF30" s="224">
        <f>IF(OR(CE30=1,CF29=0),0,IF(AF30=0,0,IF(AF30&lt;NMaxSiègeEquipe*(1+(100-Remplissage_du_brin_montant)*0.005)+1,IF(BF30&lt;Durée_maximale_d_évacuation,1,0),0)))</f>
        <v>0</v>
      </c>
      <c r="CG30" s="224">
        <f>IF(OR(CF30=1,CG29=0),0,IF(AG30=0,0,IF(AG30&lt;NMaxSiègeEquipe*(1+(100-Remplissage_du_brin_montant)*0.005)+1,IF(BG30&lt;Durée_maximale_d_évacuation,1,0),0)))</f>
        <v>0</v>
      </c>
      <c r="CH30" s="224">
        <f>IF(SUM(BJ30:CG30)&gt;0,0,IF(AH30=0,0,IF(AH30&lt;NMaxSiègeEquipe*(1+(100-Remplissage_du_brin_montant)*0.005)+1,IF(BH30&lt;Durée_maximale_d_évacuation,1,0),0)))</f>
        <v>0</v>
      </c>
      <c r="CI30" s="225"/>
      <c r="CJ30" s="332">
        <f t="shared" si="2"/>
        <v>0</v>
      </c>
      <c r="CK30" s="236">
        <f t="shared" si="3"/>
        <v>0</v>
      </c>
      <c r="CL30" s="238">
        <f t="shared" si="4"/>
        <v>0</v>
      </c>
      <c r="CM30" s="224">
        <f>IF(Remplissage_du_brin_montant=0,0,IF(24&gt;NBPylône,"",IF(SUM(BJ30:CG30)=1,CM29,CM29+1)))</f>
        <v>0</v>
      </c>
      <c r="CN30" s="17"/>
      <c r="CO30" s="236">
        <f>IF(C30=0,0,IF(ROUNDDOWN(SUM($C$6:C30)/Espacement_Véhicules+1,0)&gt;NMaxSiègeEquipe*(1+(100-Remplissage_du_brin_descendant)*0.005),NMaxSiègeEquipe*(1+(100-Remplissage_du_brin_descendant)*0.005) +1,ROUNDDOWN(SUM($C$6:C30)/Espacement_Véhicules+1,0)))</f>
        <v>0</v>
      </c>
      <c r="CP30" s="236">
        <f>IF($C30=0,0,IF(ROUNDDOWN(SUM($C$7:C30)/Espacement_Véhicules+1,0)&gt;NMaxSiègeEquipe*(1+(100-Remplissage_du_brin_descendant)*0.005),NMaxSiègeEquipe*(1+(100-Remplissage_du_brin_descendant)*0.005) +1,ROUNDDOWN(SUM($C$7:C30)/Espacement_Véhicules+1,0)))</f>
        <v>0</v>
      </c>
      <c r="CQ30" s="236">
        <f>IF($C30=0,0,IF(ROUNDDOWN(SUM($C$8:C30)/Espacement_Véhicules+1,0)&gt;NMaxSiègeEquipe*(1+(100-Remplissage_du_brin_descendant)*0.005),NMaxSiègeEquipe*(1+(100-Remplissage_du_brin_descendant)*0.005) +1,ROUNDDOWN(SUM($C$8:C30)/Espacement_Véhicules+1,0)))</f>
        <v>0</v>
      </c>
      <c r="CR30" s="236">
        <f>IF($C30=0,0,IF(ROUNDDOWN(SUM($C$9:C30)/Espacement_Véhicules+1,0)&gt;NMaxSiègeEquipe*(1+(100-Remplissage_du_brin_descendant)*0.005),NMaxSiègeEquipe*(1+(100-Remplissage_du_brin_descendant)*0.005) +1,ROUNDDOWN(SUM($C$9:C30)/Espacement_Véhicules+1,0)))</f>
        <v>0</v>
      </c>
      <c r="CS30" s="236">
        <f>IF($C30=0,0,IF(ROUNDDOWN(SUM($C$10:C30)/Espacement_Véhicules+1,0)&gt;NMaxSiègeEquipe*(1+(100-Remplissage_du_brin_descendant)*0.005),NMaxSiègeEquipe*(1+(100-Remplissage_du_brin_descendant)*0.005) +1,ROUNDDOWN(SUM($C$10:C30)/Espacement_Véhicules+1,0)))</f>
        <v>0</v>
      </c>
      <c r="CT30" s="236">
        <f>IF($C30=0,0,IF(ROUNDDOWN(SUM($C$11:C30)/Espacement_Véhicules+1,0)&gt;NMaxSiègeEquipe*(1+(100-Remplissage_du_brin_descendant)*0.005),NMaxSiègeEquipe*(1+(100-Remplissage_du_brin_descendant)*0.005) +1,ROUNDDOWN(SUM($C$11:C30)/Espacement_Véhicules+1,0)))</f>
        <v>0</v>
      </c>
      <c r="CU30" s="236">
        <f>IF($C30=0,0,IF(ROUNDDOWN(SUM($C$12:C30)/Espacement_Véhicules+1,0)&gt;NMaxSiègeEquipe*(1+(100-Remplissage_du_brin_descendant)*0.005),NMaxSiègeEquipe*(1+(100-Remplissage_du_brin_descendant)*0.005) +1,ROUNDDOWN(SUM($C$12:C30)/Espacement_Véhicules+1,0)))</f>
        <v>0</v>
      </c>
      <c r="CV30" s="236">
        <f>IF($C30=0,0,IF(ROUNDDOWN(SUM($C$13:C30)/Espacement_Véhicules+1,0)&gt;NMaxSiègeEquipe*(1+(100-Remplissage_du_brin_descendant)*0.005),NMaxSiègeEquipe*(1+(100-Remplissage_du_brin_descendant)*0.005) +1,ROUNDDOWN(SUM($C$13:C30)/Espacement_Véhicules+1,0)))</f>
        <v>0</v>
      </c>
      <c r="CW30" s="236">
        <f>IF($C30=0,0,IF(ROUNDDOWN(SUM($C$14:C30)/Espacement_Véhicules+1,0)&gt;NMaxSiègeEquipe*(1+(100-Remplissage_du_brin_descendant)*0.005),NMaxSiègeEquipe*(1+(100-Remplissage_du_brin_descendant)*0.005) +1,ROUNDDOWN(SUM($C$14:C30)/Espacement_Véhicules+1,0)))</f>
        <v>0</v>
      </c>
      <c r="CX30" s="236">
        <f>IF($C30=0,0,IF(ROUNDDOWN(SUM($C$15:C30)/Espacement_Véhicules+1,0)&gt;NMaxSiègeEquipe*(1+(100-Remplissage_du_brin_descendant)*0.005),NMaxSiègeEquipe*(1+(100-Remplissage_du_brin_descendant)*0.005) +1,ROUNDDOWN(SUM($C$15:C30)/Espacement_Véhicules+1,0)))</f>
        <v>0</v>
      </c>
      <c r="CY30" s="236">
        <f>IF($C30=0,0,IF(ROUNDDOWN(SUM($C$16:C30)/Espacement_Véhicules+1,0)&gt;NMaxSiègeEquipe*(1+(100-Remplissage_du_brin_descendant)*0.005),NMaxSiègeEquipe*(1+(100-Remplissage_du_brin_descendant)*0.005) +1,ROUNDDOWN(SUM($C$16:C30)/Espacement_Véhicules+1,0)))</f>
        <v>0</v>
      </c>
      <c r="CZ30" s="236">
        <f>IF($C30=0,0,IF(ROUNDDOWN(SUM($C$17:C30)/Espacement_Véhicules+1,0)&gt;NMaxSiègeEquipe*(1+(100-Remplissage_du_brin_descendant)*0.005),NMaxSiègeEquipe*(1+(100-Remplissage_du_brin_descendant)*0.005) +1,ROUNDDOWN(SUM($C$17:C30)/Espacement_Véhicules+1,0)))</f>
        <v>0</v>
      </c>
      <c r="DA30" s="236">
        <f>IF($C30=0,0,IF(ROUNDDOWN(SUM($C$18:C30)/Espacement_Véhicules+1,0)&gt;NMaxSiègeEquipe*(1+(100-Remplissage_du_brin_descendant)*0.005),NMaxSiègeEquipe*(1+(100-Remplissage_du_brin_descendant)*0.005) +1,ROUNDDOWN(SUM($C$18:C30)/Espacement_Véhicules+1,0)))</f>
        <v>0</v>
      </c>
      <c r="DB30" s="236">
        <f>IF($C30=0,0,IF(ROUNDDOWN(SUM($C$19:C30)/Espacement_Véhicules+1,0)&gt;NMaxSiègeEquipe*(1+(100-Remplissage_du_brin_descendant)*0.005),NMaxSiègeEquipe*(1+(100-Remplissage_du_brin_descendant)*0.005) +1,ROUNDDOWN(SUM($C$19:C30)/Espacement_Véhicules+1,0)))</f>
        <v>0</v>
      </c>
      <c r="DC30" s="236">
        <f>IF($C30=0,0,IF(ROUNDDOWN(SUM($C$20:C30)/Espacement_Véhicules+1,0)&gt;NMaxSiègeEquipe*(1+(100-Remplissage_du_brin_descendant)*0.005),NMaxSiègeEquipe*(1+(100-Remplissage_du_brin_descendant)*0.005) +1,ROUNDDOWN(SUM($C$20:C30)/Espacement_Véhicules+1,0)))</f>
        <v>0</v>
      </c>
      <c r="DD30" s="236">
        <f>IF($C30=0,0,IF(ROUNDDOWN(SUM($C$21:C30)/Espacement_Véhicules+1,0)&gt;NMaxSiègeEquipe*(1+(100-Remplissage_du_brin_descendant)*0.005),NMaxSiègeEquipe*(1+(100-Remplissage_du_brin_descendant)*0.005) +1,ROUNDDOWN(SUM($C$21:C30)/Espacement_Véhicules+1,0)))</f>
        <v>0</v>
      </c>
      <c r="DE30" s="236">
        <f>IF($C30=0,0,IF(ROUNDDOWN(SUM($C$22:C30)/Espacement_Véhicules+1,0)&gt;NMaxSiègeEquipe*(1+(100-Remplissage_du_brin_descendant)*0.005),NMaxSiègeEquipe*(1+(100-Remplissage_du_brin_descendant)*0.005) +1,ROUNDDOWN(SUM($C$22:C30)/Espacement_Véhicules+1,0)))</f>
        <v>0</v>
      </c>
      <c r="DF30" s="236">
        <f>IF($C30=0,0,IF(ROUNDDOWN(SUM($C$23:C30)/Espacement_Véhicules+1,0)&gt;NMaxSiègeEquipe*(1+(100-Remplissage_du_brin_descendant)*0.005),NMaxSiègeEquipe*(1+(100-Remplissage_du_brin_descendant)*0.005) +1,ROUNDDOWN(SUM($C$23:C30)/Espacement_Véhicules+1,0)))</f>
        <v>0</v>
      </c>
      <c r="DG30" s="236">
        <f>IF($C30=0,0,IF(ROUNDDOWN(SUM($C$24:C30)/Espacement_Véhicules+1,0)&gt;NMaxSiègeEquipe*(1+(100-Remplissage_du_brin_descendant)*0.005),NMaxSiègeEquipe*(1+(100-Remplissage_du_brin_descendant)*0.005) +1,ROUNDDOWN(SUM($C$24:C30)/Espacement_Véhicules+1,0)))</f>
        <v>0</v>
      </c>
      <c r="DH30" s="236">
        <f>IF($C30=0,0,IF(ROUNDDOWN(SUM($C$25:C30)/Espacement_Véhicules+1,0)&gt;NMaxSiègeEquipe*(1+(100-Remplissage_du_brin_descendant)*0.005),NMaxSiègeEquipe*(1+(100-Remplissage_du_brin_descendant)*0.005) +1,ROUNDDOWN(SUM($C$25:C30)/Espacement_Véhicules+1,0)))</f>
        <v>0</v>
      </c>
      <c r="DI30" s="236">
        <f>IF($C30=0,0,IF(ROUNDDOWN(SUM($C$26:C30)/Espacement_Véhicules+1,0)&gt;NMaxSiègeEquipe*(1+(100-Remplissage_du_brin_descendant)*0.005),NMaxSiègeEquipe*(1+(100-Remplissage_du_brin_descendant)*0.005) +1,ROUNDDOWN(SUM($C$26:C30)/Espacement_Véhicules+1,0)))</f>
        <v>0</v>
      </c>
      <c r="DJ30" s="236">
        <f>IF($C30=0,0,IF(ROUNDDOWN(SUM($C$27:C30)/Espacement_Véhicules+1,0)&gt;NMaxSiègeEquipe*(1+(100-Remplissage_du_brin_descendant)*0.005),NMaxSiègeEquipe*(1+(100-Remplissage_du_brin_descendant)*0.005) +1,ROUNDDOWN(SUM($C$27:C30)/Espacement_Véhicules+1,0)))</f>
        <v>0</v>
      </c>
      <c r="DK30" s="236">
        <f>IF($C30=0,0,IF(ROUNDDOWN(SUM($C$28:C30)/Espacement_Véhicules+1,0)&gt;NMaxSiègeEquipe*(1+(100-Remplissage_du_brin_descendant)*0.005),NMaxSiègeEquipe*(1+(100-Remplissage_du_brin_descendant)*0.005) +1,ROUNDDOWN(SUM($C$28:C30)/Espacement_Véhicules+1,0)))</f>
        <v>0</v>
      </c>
      <c r="DL30" s="236">
        <f>IF($C30=0,0,IF(ROUNDDOWN(SUM($C$29:C30)/Espacement_Véhicules+1,0)&gt;NMaxSiègeEquipe*(1+(100-Remplissage_du_brin_descendant)*0.005),NMaxSiègeEquipe*(1+(100-Remplissage_du_brin_descendant)*0.005) +1,ROUNDDOWN(SUM($C$29:C30)/Espacement_Véhicules+1,0)))</f>
        <v>0</v>
      </c>
      <c r="DM30" s="236">
        <f>IF($C30=0,0,ROUNDDOWN($C30/Espacement_Véhicules+1,0))</f>
        <v>0</v>
      </c>
      <c r="DN30" s="350"/>
      <c r="DO30" s="356">
        <f t="shared" si="5"/>
        <v>0</v>
      </c>
      <c r="DP30" s="356">
        <f t="shared" si="12"/>
        <v>0</v>
      </c>
      <c r="DQ30" s="356">
        <f t="shared" si="16"/>
        <v>0</v>
      </c>
      <c r="DR30" s="356">
        <f t="shared" si="20"/>
        <v>0</v>
      </c>
      <c r="DS30" s="356">
        <f t="shared" si="24"/>
        <v>0</v>
      </c>
      <c r="DT30" s="356">
        <f t="shared" si="28"/>
        <v>0</v>
      </c>
      <c r="DU30" s="356">
        <f t="shared" si="32"/>
        <v>0</v>
      </c>
      <c r="DV30" s="356">
        <f t="shared" si="36"/>
        <v>0</v>
      </c>
      <c r="DW30" s="356">
        <f t="shared" si="40"/>
        <v>0</v>
      </c>
      <c r="DX30" s="356">
        <f t="shared" si="44"/>
        <v>0</v>
      </c>
      <c r="DY30" s="356">
        <f t="shared" si="48"/>
        <v>0</v>
      </c>
      <c r="DZ30" s="356">
        <f t="shared" si="52"/>
        <v>0</v>
      </c>
      <c r="EA30" s="356">
        <f t="shared" si="56"/>
        <v>0</v>
      </c>
      <c r="EB30" s="356">
        <f t="shared" si="60"/>
        <v>0</v>
      </c>
      <c r="EC30" s="356">
        <f t="shared" si="64"/>
        <v>0</v>
      </c>
      <c r="ED30" s="356">
        <f t="shared" si="68"/>
        <v>0</v>
      </c>
      <c r="EE30" s="356">
        <f t="shared" si="72"/>
        <v>0</v>
      </c>
      <c r="EF30" s="356">
        <f t="shared" si="76"/>
        <v>0</v>
      </c>
      <c r="EG30" s="356">
        <f t="shared" si="80"/>
        <v>0</v>
      </c>
      <c r="EH30" s="356">
        <f t="shared" si="84"/>
        <v>0</v>
      </c>
      <c r="EI30" s="356">
        <f>IF($C30=0,0,IF(EI29+$F30*(DI30-DI29)*Remplissage_du_brin_descendant/100+$H30&gt;=Durée_maximale_d_évacuation,Durée_maximale_d_évacuation,IF(EI29+$F30*(DI30-DI29)*Remplissage_du_brin_descendant/100+$G30+$F31*(DI31-DI30)*Remplissage_du_brin_descendant/100+$H31&gt;=Durée_maximale_d_évacuation,EI29+$F30*(DI30-DI29)*Remplissage_du_brin_descendant/100+$H30,EI29+$F30*(DI30-DI29)*Remplissage_du_brin_descendant/100+$G30)))</f>
        <v>0</v>
      </c>
      <c r="EJ30" s="356">
        <f>IF($C30=0,0,IF(EJ29+$F30*(DJ30-DJ29)*Remplissage_du_brin_descendant/100+$H30&gt;=Durée_maximale_d_évacuation,Durée_maximale_d_évacuation,IF(EJ29+$F30*(DJ30-DJ29)*Remplissage_du_brin_descendant/100+$G30+$F31*(DJ31-DJ30)*Remplissage_du_brin_descendant/100+$H31&gt;=Durée_maximale_d_évacuation,EJ29+$F30*(DJ30-DJ29)*Remplissage_du_brin_descendant/100+$H30,EJ29+$F30*(DJ30-DJ29)*Remplissage_du_brin_descendant/100+$G30)))</f>
        <v>0</v>
      </c>
      <c r="EK30" s="356">
        <f>IF($C30=0,0,IF(EK29+$F30*(DK30-DK29)*Remplissage_du_brin_descendant/100+$H30&gt;=Durée_maximale_d_évacuation,Durée_maximale_d_évacuation,IF(EK29+$F30*(DK30-DK29)*Remplissage_du_brin_descendant/100+$G30+$F31*(DK31-DK30)*Remplissage_du_brin_descendant/100+$H31&gt;=Durée_maximale_d_évacuation,EK29+$F30*(DK30-DK29)*Remplissage_du_brin_descendant/100+$H30,EK29+$F30*(DK30-DK29)*Remplissage_du_brin_descendant/100+$G30)))</f>
        <v>0</v>
      </c>
      <c r="EL30" s="356">
        <f>IF($C30=0,0,IF(EL29+$F30*(DL30-DL29)*Remplissage_du_brin_descendant/100+$H30&gt;=Durée_maximale_d_évacuation,Durée_maximale_d_évacuation,IF(EL29+$F30*(DL30-DL29)*Remplissage_du_brin_descendant/100+$G30+$F31*(DL31-DL30)*Remplissage_du_brin_descendant/100+$H31&gt;=Durée_maximale_d_évacuation,EL29+$F30*(DL30-DL29)*Remplissage_du_brin_descendant/100+$H30,EL29+$F30*(DL30-DL29)*Remplissage_du_brin_descendant/100+$G30)))</f>
        <v>0</v>
      </c>
      <c r="EM30" s="356">
        <f>IF($C30=0,0,IF($E30+$F30*DM30*Remplissage_du_brin_descendant/100+$G30+($F31-$F30)*DM31*Remplissage_du_brin_descendant/100+$H31&gt;=Durée_maximale_d_évacuation,$E30+$F30*DM30*Remplissage_du_brin_descendant/100+$H30,$E30+$F30*DM30*Remplissage_du_brin_descendant/100+$G30))</f>
        <v>0</v>
      </c>
      <c r="EN30" s="357"/>
      <c r="EO30" s="224">
        <f t="shared" si="6"/>
        <v>0</v>
      </c>
      <c r="EP30" s="224">
        <f t="shared" si="13"/>
        <v>0</v>
      </c>
      <c r="EQ30" s="224">
        <f t="shared" si="17"/>
        <v>0</v>
      </c>
      <c r="ER30" s="224">
        <f t="shared" si="21"/>
        <v>0</v>
      </c>
      <c r="ES30" s="224">
        <f t="shared" si="25"/>
        <v>0</v>
      </c>
      <c r="ET30" s="224">
        <f t="shared" si="29"/>
        <v>0</v>
      </c>
      <c r="EU30" s="224">
        <f t="shared" si="33"/>
        <v>0</v>
      </c>
      <c r="EV30" s="224">
        <f t="shared" si="37"/>
        <v>0</v>
      </c>
      <c r="EW30" s="224">
        <f t="shared" si="41"/>
        <v>0</v>
      </c>
      <c r="EX30" s="224">
        <f t="shared" si="45"/>
        <v>0</v>
      </c>
      <c r="EY30" s="224">
        <f t="shared" si="49"/>
        <v>0</v>
      </c>
      <c r="EZ30" s="224">
        <f t="shared" si="53"/>
        <v>0</v>
      </c>
      <c r="FA30" s="224">
        <f t="shared" si="57"/>
        <v>0</v>
      </c>
      <c r="FB30" s="224">
        <f t="shared" si="61"/>
        <v>0</v>
      </c>
      <c r="FC30" s="224">
        <f t="shared" si="65"/>
        <v>0</v>
      </c>
      <c r="FD30" s="224">
        <f t="shared" si="69"/>
        <v>0</v>
      </c>
      <c r="FE30" s="224">
        <f t="shared" si="73"/>
        <v>0</v>
      </c>
      <c r="FF30" s="224">
        <f t="shared" si="77"/>
        <v>0</v>
      </c>
      <c r="FG30" s="224">
        <f t="shared" si="81"/>
        <v>0</v>
      </c>
      <c r="FH30" s="224">
        <f t="shared" si="85"/>
        <v>0</v>
      </c>
      <c r="FI30" s="224">
        <f>IF(OR(FH30=1,FI29=0),0,IF(DI30=0,0,IF(DI30&lt;NMaxSiègeEquipe*(1+(100-Remplissage_du_brin_descendant)*0.005)+1,IF(EI30&lt;Durée_maximale_d_évacuation,1,0),0)))</f>
        <v>0</v>
      </c>
      <c r="FJ30" s="224">
        <f>IF(OR(FI30=1,FJ29=0),0,IF(DJ30=0,0,IF(DJ30&lt;NMaxSiègeEquipe*(1+(100-Remplissage_du_brin_descendant)*0.005)+1,IF(EJ30&lt;Durée_maximale_d_évacuation,1,0),0)))</f>
        <v>0</v>
      </c>
      <c r="FK30" s="224">
        <f>IF(OR(FJ30=1,FK29=0),0,IF(DK30=0,0,IF(DK30&lt;NMaxSiègeEquipe*(1+(100-Remplissage_du_brin_descendant)*0.005)+1,IF(EK30&lt;Durée_maximale_d_évacuation,1,0),0)))</f>
        <v>0</v>
      </c>
      <c r="FL30" s="224">
        <f>IF(OR(FK30=1,FL29=0),0,IF(DL30=0,0,IF(DL30&lt;NMaxSiègeEquipe*(1+(100-Remplissage_du_brin_descendant)*0.005)+1,IF(EL30&lt;Durée_maximale_d_évacuation,1,0),0)))</f>
        <v>0</v>
      </c>
      <c r="FM30" s="224">
        <f>IF(SUM(EO30:FL30)&gt;0,0,IF(DM30=0,0,IF(DM30&lt;NMaxSiègeEquipe*(1+(100-Remplissage_du_brin_descendant)*0.005)+1,IF(EM30&lt;Durée_maximale_d_évacuation,1,0),0)))</f>
        <v>0</v>
      </c>
      <c r="FN30" s="225"/>
      <c r="FO30" s="332">
        <f t="shared" si="7"/>
        <v>0</v>
      </c>
      <c r="FP30" s="236">
        <f t="shared" si="8"/>
        <v>0</v>
      </c>
      <c r="FQ30" s="238">
        <f t="shared" si="9"/>
        <v>0</v>
      </c>
      <c r="FR30" s="224">
        <f>IF(Remplissage_du_brin_descendant=0,0,IF(24&gt;NBPylône,"",IF(SUM(EO30:FL30)=1,FR29,FR29+1)))</f>
        <v>0</v>
      </c>
    </row>
    <row r="31" spans="1:174" x14ac:dyDescent="0.2">
      <c r="A31" s="62" t="str">
        <f>'     2-DL     '!C33</f>
        <v/>
      </c>
      <c r="B31" s="65" t="str">
        <f>'     2-DL     '!D33</f>
        <v/>
      </c>
      <c r="C31" s="63">
        <f>IF(B31="",0,'     2-DL     '!E33)</f>
        <v>0</v>
      </c>
      <c r="D31" s="66"/>
      <c r="E31" s="4">
        <f>IF(C31=0,0,'     2-DL     '!F33)</f>
        <v>0</v>
      </c>
      <c r="F31" s="4">
        <f>IF(C31=0,0,IF(S_TempsEvacuationVehicule=1,A_TempsEvacuationVéhicule,'     2-DL     '!H33))</f>
        <v>0</v>
      </c>
      <c r="G31" s="4">
        <f>IF(C31=0,0,IF(S_TempsAccèsPortéeSuivante=1,A_TempsAccèsPortéeSuivante,'     2-DL     '!J33))</f>
        <v>0</v>
      </c>
      <c r="H31" s="4">
        <f>IF(C31=0,0,'     2-DL     '!L33)</f>
        <v>0</v>
      </c>
      <c r="I31" s="66"/>
      <c r="J31" s="236">
        <f>IF($C31=0,0,IF(ROUNDDOWN(SUM($C$6:C31)/Espacement_Véhicules+1,0)&gt;NMaxSiègeEquipe*(1+(100-Remplissage_du_brin_montant)*0.005),NMaxSiègeEquipe*(1+(100-Remplissage_du_brin_montant)*0.005) +1,ROUNDDOWN(SUM($C$6:C31)/Espacement_Véhicules+1,0)))</f>
        <v>0</v>
      </c>
      <c r="K31" s="236">
        <f>IF($C31=0,0,IF(ROUNDDOWN(SUM($C$7:C31)/Espacement_Véhicules+1,0)&gt;NMaxSiègeEquipe*(1+(100-Remplissage_du_brin_montant)*0.005),NMaxSiègeEquipe*(1+(100-Remplissage_du_brin_montant)*0.005) +1,ROUNDDOWN(SUM($C$7:C31)/Espacement_Véhicules+1,0)))</f>
        <v>0</v>
      </c>
      <c r="L31" s="236">
        <f>IF($C31=0,0,IF(ROUNDDOWN(SUM($C$8:C31)/Espacement_Véhicules+1,0)&gt;NMaxSiègeEquipe*(1+(100-Remplissage_du_brin_montant)*0.005),NMaxSiègeEquipe*(1+(100-Remplissage_du_brin_montant)*0.005) +1,ROUNDDOWN(SUM($C$8:C31)/Espacement_Véhicules+1,0)))</f>
        <v>0</v>
      </c>
      <c r="M31" s="236">
        <f>IF($C31=0,0,IF(ROUNDDOWN(SUM($C$9:C31)/Espacement_Véhicules+1,0)&gt;NMaxSiègeEquipe*(1+(100-Remplissage_du_brin_montant)*0.005),NMaxSiègeEquipe*(1+(100-Remplissage_du_brin_montant)*0.005) +1,ROUNDDOWN(SUM($C$9:C31)/Espacement_Véhicules+1,0)))</f>
        <v>0</v>
      </c>
      <c r="N31" s="236">
        <f>IF($C31=0,0,IF(ROUNDDOWN(SUM($C10:$C31)/Espacement_Véhicules+1,0)&gt;NMaxSiègeEquipe*(1+(100-Remplissage_du_brin_montant)*0.005),NMaxSiègeEquipe +1,ROUNDDOWN(SUM($C10:$C31)/Espacement_Véhicules+1,0)))</f>
        <v>0</v>
      </c>
      <c r="O31" s="236">
        <f>IF($C31=0,0,IF(ROUNDDOWN(SUM($C30:C31)/Espacement_Véhicules+1,0)&gt;NMaxSiègeEquipe*(1+(100-Remplissage_du_brin_montant)*0.005),NMaxSiègeEquipe*(1+(100-Remplissage_du_brin_montant)*0.005) +1,ROUNDDOWN(SUM($C$11:C31)/Espacement_Véhicules+1,0)))</f>
        <v>0</v>
      </c>
      <c r="P31" s="236">
        <f>IF($C31=0,0,IF(ROUNDDOWN(SUM($C$12:C31)/Espacement_Véhicules+1,0)&gt;NMaxSiègeEquipe*(1+(100-Remplissage_du_brin_montant)*0.005),NMaxSiègeEquipe*(1+(100-Remplissage_du_brin_montant)*0.005) +1,ROUNDDOWN(SUM($C$12:C31)/Espacement_Véhicules+1,0)))</f>
        <v>0</v>
      </c>
      <c r="Q31" s="236">
        <f>IF($C31=0,0,IF(ROUNDDOWN(SUM($C13:$C31)/Espacement_Véhicules+1,0)&gt;NMaxSiègeEquipe*(1+(100-Remplissage_du_brin_montant)*0.005),NMaxSiègeEquipe +1,ROUNDDOWN(SUM($C13:$C31)/Espacement_Véhicules+1,0)))</f>
        <v>0</v>
      </c>
      <c r="R31" s="236">
        <f>IF($C31=0,0,IF(ROUNDDOWN(SUM($C$14:C31)/Espacement_Véhicules+1,0)&gt;NMaxSiègeEquipe*(1+(100-Remplissage_du_brin_montant)*0.005),NMaxSiègeEquipe*(1+(100-Remplissage_du_brin_montant)*0.005) +1,ROUNDDOWN(SUM($C$14:C31)/Espacement_Véhicules+1,0)))</f>
        <v>0</v>
      </c>
      <c r="S31" s="236">
        <f>IF($C31=0,0,IF(ROUNDDOWN(SUM($C$15:C31)/Espacement_Véhicules+1,0)&gt;NMaxSiègeEquipe*(1+(100-Remplissage_du_brin_montant)*0.005),NMaxSiègeEquipe*(1+(100-Remplissage_du_brin_montant)*0.005) +1,ROUNDDOWN(SUM($C$15:C31)/Espacement_Véhicules+1,0)))</f>
        <v>0</v>
      </c>
      <c r="T31" s="236">
        <f>IF($C31=0,0,IF(ROUNDDOWN(SUM($C$16:C31)/Espacement_Véhicules+1,0)&gt;NMaxSiègeEquipe*(1+(100-Remplissage_du_brin_montant)*0.005),NMaxSiègeEquipe*(1+(100-Remplissage_du_brin_montant)*0.005) +1,ROUNDDOWN(SUM($C$16:C31)/Espacement_Véhicules+1,0)))</f>
        <v>0</v>
      </c>
      <c r="U31" s="236">
        <f>IF($C31=0,0,IF(ROUNDDOWN(SUM($C$17:C31)/Espacement_Véhicules+1,0)&gt;NMaxSiègeEquipe*(1+(100-Remplissage_du_brin_montant)*0.005),NMaxSiègeEquipe*(1+(100-Remplissage_du_brin_montant)*0.005) +1,ROUNDDOWN(SUM($C$17:C31)/Espacement_Véhicules+1,0)))</f>
        <v>0</v>
      </c>
      <c r="V31" s="236">
        <f>IF($C31=0,0,IF(ROUNDDOWN(SUM($C$18:C31)/Espacement_Véhicules+1,0)&gt;NMaxSiègeEquipe*(1+(100-Remplissage_du_brin_montant)*0.005),NMaxSiègeEquipe*(1+(100-Remplissage_du_brin_montant)*0.005) +1,ROUNDDOWN(SUM($C$18:C31)/Espacement_Véhicules+1,0)))</f>
        <v>0</v>
      </c>
      <c r="W31" s="236">
        <f>IF($C31=0,0,IF(ROUNDDOWN(SUM($C$19:C31)/Espacement_Véhicules+1,0)&gt;NMaxSiègeEquipe*(1+(100-Remplissage_du_brin_montant)*0.005),NMaxSiègeEquipe*(1+(100-Remplissage_du_brin_montant)*0.005) +1,ROUNDDOWN(SUM($C$19:C31)/Espacement_Véhicules+1,0)))</f>
        <v>0</v>
      </c>
      <c r="X31" s="236">
        <f>IF($C31=0,0,IF(ROUNDDOWN(SUM($C$20:C31)/Espacement_Véhicules+1,0)&gt;NMaxSiègeEquipe*(1+(100-Remplissage_du_brin_montant)*0.005),NMaxSiègeEquipe*(1+(100-Remplissage_du_brin_montant)*0.005) +1,ROUNDDOWN(SUM($C$20:C31)/Espacement_Véhicules+1,0)))</f>
        <v>0</v>
      </c>
      <c r="Y31" s="236">
        <f>IF($C31=0,0,IF(ROUNDDOWN(SUM($C$21:C31)/Espacement_Véhicules+1,0)&gt;NMaxSiègeEquipe*(1+(100-Remplissage_du_brin_montant)*0.005),NMaxSiègeEquipe*(1+(100-Remplissage_du_brin_montant)*0.005) +1,ROUNDDOWN(SUM($C$21:C31)/Espacement_Véhicules+1,0)))</f>
        <v>0</v>
      </c>
      <c r="Z31" s="236">
        <f>IF($C31=0,0,IF(ROUNDDOWN(SUM($C$22:C31)/Espacement_Véhicules+1,0)&gt;NMaxSiègeEquipe*(1+(100-Remplissage_du_brin_montant)*0.005),NMaxSiègeEquipe*(1+(100-Remplissage_du_brin_montant)*0.005) +1,ROUNDDOWN(SUM($C$22:C31)/Espacement_Véhicules+1,0)))</f>
        <v>0</v>
      </c>
      <c r="AA31" s="236">
        <f>IF($C31=0,0,IF(ROUNDDOWN(SUM($C$23:C31)/Espacement_Véhicules+1,0)&gt;NMaxSiègeEquipe*(1+(100-Remplissage_du_brin_montant)*0.005),NMaxSiègeEquipe*(1+(100-Remplissage_du_brin_montant)*0.005) +1,ROUNDDOWN(SUM($C$23:C31)/Espacement_Véhicules+1,0)))</f>
        <v>0</v>
      </c>
      <c r="AB31" s="236">
        <f>IF($C31=0,0,IF(ROUNDDOWN(SUM($C$24:C31)/Espacement_Véhicules+1,0)&gt;NMaxSiègeEquipe*(1+(100-Remplissage_du_brin_montant)*0.005),NMaxSiègeEquipe*(1+(100-Remplissage_du_brin_montant)*0.005)+1,ROUNDDOWN(SUM($C$24:C31)/Espacement_Véhicules+1,0)))</f>
        <v>0</v>
      </c>
      <c r="AC31" s="236">
        <f>IF($C31=0,0,IF(ROUNDDOWN(SUM($C$25:C31)/Espacement_Véhicules+1,0)&gt;NMaxSiègeEquipe*(1+(100-Remplissage_du_brin_montant)*0.005),NMaxSiègeEquipe*(1+(100-Remplissage_du_brin_montant)*0.005) +1,ROUNDDOWN(SUM($C$25:C31)/Espacement_Véhicules+1,0)))</f>
        <v>0</v>
      </c>
      <c r="AD31" s="236">
        <f>IF($C31=0,0,IF(ROUNDDOWN(SUM($C$26:C31)/Espacement_Véhicules+1,0)&gt;NMaxSiègeEquipe*(1+(100-Remplissage_du_brin_montant)*0.005),NMaxSiègeEquipe*(1+(100-Remplissage_du_brin_montant)*0.005) +1,ROUNDDOWN(SUM($C$26:C31)/Espacement_Véhicules+1,0)))</f>
        <v>0</v>
      </c>
      <c r="AE31" s="236">
        <f>IF($C31=0,0,IF(ROUNDDOWN(SUM($C$27:C31)/Espacement_Véhicules+1,0)&gt;NMaxSiègeEquipe*(1+(100-Remplissage_du_brin_montant)*0.005),NMaxSiègeEquipe*(1+(100-Remplissage_du_brin_montant)*0.005) +1,ROUNDDOWN(SUM($C$27:C31)/Espacement_Véhicules+1,0)))</f>
        <v>0</v>
      </c>
      <c r="AF31" s="236">
        <f>IF($C31=0,0,IF(ROUNDDOWN(SUM($C$28:C31)/Espacement_Véhicules+1,0)&gt;NMaxSiègeEquipe*(1+(100-Remplissage_du_brin_montant)*0.005),NMaxSiègeEquipe*(1+(100-Remplissage_du_brin_montant)*0.005) +1,ROUNDDOWN(SUM($C$28:C31)/Espacement_Véhicules+1,0)))</f>
        <v>0</v>
      </c>
      <c r="AG31" s="236">
        <f>IF($C31=0,0,IF(ROUNDDOWN(SUM($C$29:C31)/Espacement_Véhicules+1,0)&gt;NMaxSiègeEquipe*(1+(100-Remplissage_du_brin_montant)*0.005),NMaxSiègeEquipe*(1+(100-Remplissage_du_brin_montant)*0.005) +1,ROUNDDOWN(SUM($C$29:C31)/Espacement_Véhicules+1,0)))</f>
        <v>0</v>
      </c>
      <c r="AH31" s="236">
        <f>IF($C31=0,0,IF(ROUNDDOWN(SUM($C$30:C31)/Espacement_Véhicules+1,0)&gt;NMaxSiègeEquipe*(1+(100-Remplissage_du_brin_montant)*0.005),NMaxSiègeEquipe*(1+(100-Remplissage_du_brin_montant)*0.005) +1,ROUNDDOWN(SUM($C$30:C31)/Espacement_Véhicules+1,0)))</f>
        <v>0</v>
      </c>
      <c r="AI31" s="236">
        <f>IF($C31=0,0,ROUNDDOWN($C31/Espacement_Véhicules+1,0))</f>
        <v>0</v>
      </c>
      <c r="AJ31" s="356">
        <f t="shared" si="0"/>
        <v>0</v>
      </c>
      <c r="AK31" s="356">
        <f t="shared" si="10"/>
        <v>0</v>
      </c>
      <c r="AL31" s="356">
        <f t="shared" si="14"/>
        <v>0</v>
      </c>
      <c r="AM31" s="356">
        <f t="shared" si="18"/>
        <v>0</v>
      </c>
      <c r="AN31" s="356">
        <f t="shared" si="22"/>
        <v>0</v>
      </c>
      <c r="AO31" s="356">
        <f t="shared" si="26"/>
        <v>0</v>
      </c>
      <c r="AP31" s="356">
        <f t="shared" si="30"/>
        <v>0</v>
      </c>
      <c r="AQ31" s="356">
        <f t="shared" si="34"/>
        <v>0</v>
      </c>
      <c r="AR31" s="356">
        <f t="shared" si="38"/>
        <v>0</v>
      </c>
      <c r="AS31" s="356">
        <f t="shared" si="42"/>
        <v>0</v>
      </c>
      <c r="AT31" s="356">
        <f t="shared" si="46"/>
        <v>0</v>
      </c>
      <c r="AU31" s="356">
        <f t="shared" si="50"/>
        <v>0</v>
      </c>
      <c r="AV31" s="356">
        <f t="shared" si="54"/>
        <v>0</v>
      </c>
      <c r="AW31" s="356">
        <f t="shared" si="58"/>
        <v>0</v>
      </c>
      <c r="AX31" s="356">
        <f t="shared" si="62"/>
        <v>0</v>
      </c>
      <c r="AY31" s="356">
        <f t="shared" si="66"/>
        <v>0</v>
      </c>
      <c r="AZ31" s="356">
        <f t="shared" si="70"/>
        <v>0</v>
      </c>
      <c r="BA31" s="356">
        <f t="shared" si="74"/>
        <v>0</v>
      </c>
      <c r="BB31" s="356">
        <f t="shared" si="78"/>
        <v>0</v>
      </c>
      <c r="BC31" s="356">
        <f t="shared" si="82"/>
        <v>0</v>
      </c>
      <c r="BD31" s="356">
        <f>IF($C31=0,0,IF(BD30+$F31*(AD31-AD30)*Remplissage_du_brin_montant/100+$H31&gt;=Durée_maximale_d_évacuation,Durée_maximale_d_évacuation,IF(BD30+$F31*(AD31-AD30)*Remplissage_du_brin_montant/100+$G31+$F32*(AD32-AD31)*Remplissage_du_brin_montant/100+$H32&gt;=Durée_maximale_d_évacuation,BD30+$F31*(AD31-AD30)*Remplissage_du_brin_montant/100+$H31,BD30+$F31*(AD31-AD30)*Remplissage_du_brin_montant/100+$G31)))</f>
        <v>0</v>
      </c>
      <c r="BE31" s="356">
        <f>IF($C31=0,0,IF(BE30+$F31*(AE31-AE30)*Remplissage_du_brin_montant/100+$H31&gt;=Durée_maximale_d_évacuation,Durée_maximale_d_évacuation,IF(BE30+$F31*(AE31-AE30)*Remplissage_du_brin_montant/100+$G31+$F32*(AE32-AE31)*Remplissage_du_brin_montant/100+$H32&gt;=Durée_maximale_d_évacuation,BE30+$F31*(AE31-AE30)*Remplissage_du_brin_montant/100+$H31,BE30+$F31*(AE31-AE30)*Remplissage_du_brin_montant/100+$G31)))</f>
        <v>0</v>
      </c>
      <c r="BF31" s="356">
        <f>IF($C31=0,0,IF(BF30+$F31*(AF31-AF30)*Remplissage_du_brin_montant/100+$H31&gt;=Durée_maximale_d_évacuation,Durée_maximale_d_évacuation,IF(BF30+$F31*(AF31-AF30)*Remplissage_du_brin_montant/100+$G31+$F32*(AF32-AF31)*Remplissage_du_brin_montant/100+$H32&gt;=Durée_maximale_d_évacuation,BF30+$F31*(AF31-AF30)*Remplissage_du_brin_montant/100+$H31,BF30+$F31*(AF31-AF30)*Remplissage_du_brin_montant/100+$G31)))</f>
        <v>0</v>
      </c>
      <c r="BG31" s="356">
        <f>IF($C31=0,0,IF(BG30+$F31*(AG31-AG30)*Remplissage_du_brin_montant/100+$H31&gt;=Durée_maximale_d_évacuation,Durée_maximale_d_évacuation,IF(BG30+$F31*(AG31-AG30)*Remplissage_du_brin_montant/100+$G31+$F32*(AG32-AG31)*Remplissage_du_brin_montant/100+$H32&gt;=Durée_maximale_d_évacuation,BG30+$F31*(AG31-AG30)*Remplissage_du_brin_montant/100+$H31,BG30+$F31*(AG31-AG30)*Remplissage_du_brin_montant/100+$G31)))</f>
        <v>0</v>
      </c>
      <c r="BH31" s="356">
        <f>IF($C31=0,0,IF(BH30+$F31*(AH31-AH30)*Remplissage_du_brin_montant/100+$H31&gt;=Durée_maximale_d_évacuation,Durée_maximale_d_évacuation,IF(BH30+$F31*(AH31-AH30)*Remplissage_du_brin_montant/100+$G31+$F32*(AH32-AH31)*Remplissage_du_brin_montant/100+$H32&gt;=Durée_maximale_d_évacuation,BH30+$F31*(AH31-AH30)*Remplissage_du_brin_montant/100+$H31,BH30+$F31*(AH31-AH30)*Remplissage_du_brin_montant/100+$G31)))</f>
        <v>0</v>
      </c>
      <c r="BI31" s="356">
        <f>IF($C31=0,0,IF($E31+$F31*AI31*Remplissage_du_brin_montant/100+$G31+($F32-$F31)*AI32*Remplissage_du_brin_montant/100+$H32&gt;=Durée_maximale_d_évacuation,$E31+$F31*AI31*Remplissage_du_brin_montant/100+$H31,$E31+$F31*AI31*Remplissage_du_brin_montant/100+$G31))</f>
        <v>0</v>
      </c>
      <c r="BJ31" s="224">
        <f t="shared" si="1"/>
        <v>0</v>
      </c>
      <c r="BK31" s="224">
        <f t="shared" si="11"/>
        <v>0</v>
      </c>
      <c r="BL31" s="224">
        <f t="shared" si="15"/>
        <v>0</v>
      </c>
      <c r="BM31" s="224">
        <f t="shared" si="19"/>
        <v>0</v>
      </c>
      <c r="BN31" s="224">
        <f t="shared" si="23"/>
        <v>0</v>
      </c>
      <c r="BO31" s="224">
        <f t="shared" si="27"/>
        <v>0</v>
      </c>
      <c r="BP31" s="224">
        <f t="shared" si="31"/>
        <v>0</v>
      </c>
      <c r="BQ31" s="224">
        <f t="shared" si="35"/>
        <v>0</v>
      </c>
      <c r="BR31" s="224">
        <f t="shared" si="39"/>
        <v>0</v>
      </c>
      <c r="BS31" s="224">
        <f t="shared" si="43"/>
        <v>0</v>
      </c>
      <c r="BT31" s="224">
        <f t="shared" si="47"/>
        <v>0</v>
      </c>
      <c r="BU31" s="224">
        <f t="shared" si="51"/>
        <v>0</v>
      </c>
      <c r="BV31" s="224">
        <f t="shared" si="55"/>
        <v>0</v>
      </c>
      <c r="BW31" s="224">
        <f t="shared" si="59"/>
        <v>0</v>
      </c>
      <c r="BX31" s="224">
        <f t="shared" si="63"/>
        <v>0</v>
      </c>
      <c r="BY31" s="224">
        <f t="shared" si="67"/>
        <v>0</v>
      </c>
      <c r="BZ31" s="224">
        <f t="shared" si="71"/>
        <v>0</v>
      </c>
      <c r="CA31" s="224">
        <f t="shared" si="75"/>
        <v>0</v>
      </c>
      <c r="CB31" s="224">
        <f t="shared" si="79"/>
        <v>0</v>
      </c>
      <c r="CC31" s="224">
        <f t="shared" si="83"/>
        <v>0</v>
      </c>
      <c r="CD31" s="224">
        <f>IF(OR(CC31=1,CD30=0),0,IF(AD31=0,0,IF(AD31&lt;NMaxSiègeEquipe*(1+(100-Remplissage_du_brin_montant)*0.005)+1,IF(BD31&lt;Durée_maximale_d_évacuation,1,0),0)))</f>
        <v>0</v>
      </c>
      <c r="CE31" s="224">
        <f>IF(OR(CD31=1,CE30=0),0,IF(AE31=0,0,IF(AE31&lt;NMaxSiègeEquipe*(1+(100-Remplissage_du_brin_montant)*0.005)+1,IF(BE31&lt;Durée_maximale_d_évacuation,1,0),0)))</f>
        <v>0</v>
      </c>
      <c r="CF31" s="224">
        <f>IF(OR(CE31=1,CF30=0),0,IF(AF31=0,0,IF(AF31&lt;NMaxSiègeEquipe*(1+(100-Remplissage_du_brin_montant)*0.005)+1,IF(BF31&lt;Durée_maximale_d_évacuation,1,0),0)))</f>
        <v>0</v>
      </c>
      <c r="CG31" s="224">
        <f>IF(OR(CF31=1,CG30=0),0,IF(AG31=0,0,IF(AG31&lt;NMaxSiègeEquipe*(1+(100-Remplissage_du_brin_montant)*0.005)+1,IF(BG31&lt;Durée_maximale_d_évacuation,1,0),0)))</f>
        <v>0</v>
      </c>
      <c r="CH31" s="224">
        <f>IF(OR(CG31=1,CH30=0),0,IF(AH31=0,0,IF(AH31&lt;NMaxSiègeEquipe*(1+(100-Remplissage_du_brin_montant)*0.005+1),IF(BH31&lt;Durée_maximale_d_évacuation,1,0),0)))</f>
        <v>0</v>
      </c>
      <c r="CI31" s="224">
        <f>IF(SUM(BJ31:CH31)&gt;0,0,IF(AI31=0,0,IF(AI31&lt;NMaxSiègeEquipe*(1+(100-Remplissage_du_brin_montant)*0.005)+1,IF(BI31&lt;Durée_maximale_d_évacuation,1,0),0)))</f>
        <v>0</v>
      </c>
      <c r="CJ31" s="332">
        <f t="shared" si="2"/>
        <v>0</v>
      </c>
      <c r="CK31" s="236">
        <f t="shared" si="3"/>
        <v>0</v>
      </c>
      <c r="CL31" s="238">
        <f t="shared" si="4"/>
        <v>0</v>
      </c>
      <c r="CM31" s="224">
        <f>IF(Remplissage_du_brin_montant=0,0,IF(25&gt;NBPylône,"",IF(SUM(BJ31:CH31)=1,CM30,CM30+1)))</f>
        <v>0</v>
      </c>
      <c r="CN31" s="17"/>
      <c r="CO31" s="236">
        <f>IF(C31=0,0,IF(ROUNDDOWN(SUM($C$6:C31)/Espacement_Véhicules+1,0)&gt;NMaxSiègeEquipe*(1+(100-Remplissage_du_brin_descendant)*0.005),NMaxSiègeEquipe*(1+(100-Remplissage_du_brin_descendant)*0.005) +1,ROUNDDOWN(SUM($C$6:C31)/Espacement_Véhicules+1,0)))</f>
        <v>0</v>
      </c>
      <c r="CP31" s="236">
        <f>IF($C31=0,0,IF(ROUNDDOWN(SUM($C$7:C31)/Espacement_Véhicules+1,0)&gt;NMaxSiègeEquipe*(1+(100-Remplissage_du_brin_descendant)*0.005),NMaxSiègeEquipe*(1+(100-Remplissage_du_brin_descendant)*0.005) +1,ROUNDDOWN(SUM($C$7:C31)/Espacement_Véhicules+1,0)))</f>
        <v>0</v>
      </c>
      <c r="CQ31" s="236">
        <f>IF($C31=0,0,IF(ROUNDDOWN(SUM($C$8:C31)/Espacement_Véhicules+1,0)&gt;NMaxSiègeEquipe*(1+(100-Remplissage_du_brin_descendant)*0.005),NMaxSiègeEquipe*(1+(100-Remplissage_du_brin_descendant)*0.005) +1,ROUNDDOWN(SUM($C$8:C31)/Espacement_Véhicules+1,0)))</f>
        <v>0</v>
      </c>
      <c r="CR31" s="236">
        <f>IF($C31=0,0,IF(ROUNDDOWN(SUM($C$9:C31)/Espacement_Véhicules+1,0)&gt;NMaxSiègeEquipe*(1+(100-Remplissage_du_brin_descendant)*0.005),NMaxSiègeEquipe*(1+(100-Remplissage_du_brin_descendant)*0.005) +1,ROUNDDOWN(SUM($C$9:C31)/Espacement_Véhicules+1,0)))</f>
        <v>0</v>
      </c>
      <c r="CS31" s="236">
        <f>IF($C31=0,0,IF(ROUNDDOWN(SUM($C$10:C31)/Espacement_Véhicules+1,0)&gt;NMaxSiègeEquipe*(1+(100-Remplissage_du_brin_descendant)*0.005),NMaxSiègeEquipe*(1+(100-Remplissage_du_brin_descendant)*0.005) +1,ROUNDDOWN(SUM($C$10:C31)/Espacement_Véhicules+1,0)))</f>
        <v>0</v>
      </c>
      <c r="CT31" s="236">
        <f>IF($C31=0,0,IF(ROUNDDOWN(SUM($C$11:C31)/Espacement_Véhicules+1,0)&gt;NMaxSiègeEquipe*(1+(100-Remplissage_du_brin_descendant)*0.005),NMaxSiègeEquipe*(1+(100-Remplissage_du_brin_descendant)*0.005) +1,ROUNDDOWN(SUM($C$11:C31)/Espacement_Véhicules+1,0)))</f>
        <v>0</v>
      </c>
      <c r="CU31" s="236">
        <f>IF($C31=0,0,IF(ROUNDDOWN(SUM($C$12:C31)/Espacement_Véhicules+1,0)&gt;NMaxSiègeEquipe*(1+(100-Remplissage_du_brin_descendant)*0.005),NMaxSiègeEquipe*(1+(100-Remplissage_du_brin_descendant)*0.005) +1,ROUNDDOWN(SUM($C$12:C31)/Espacement_Véhicules+1,0)))</f>
        <v>0</v>
      </c>
      <c r="CV31" s="236">
        <f>IF($C31=0,0,IF(ROUNDDOWN(SUM($C$13:C31)/Espacement_Véhicules+1,0)&gt;NMaxSiègeEquipe*(1+(100-Remplissage_du_brin_descendant)*0.005),NMaxSiègeEquipe*(1+(100-Remplissage_du_brin_descendant)*0.005) +1,ROUNDDOWN(SUM($C$13:C31)/Espacement_Véhicules+1,0)))</f>
        <v>0</v>
      </c>
      <c r="CW31" s="236">
        <f>IF($C31=0,0,IF(ROUNDDOWN(SUM($C$14:C31)/Espacement_Véhicules+1,0)&gt;NMaxSiègeEquipe*(1+(100-Remplissage_du_brin_descendant)*0.005),NMaxSiègeEquipe*(1+(100-Remplissage_du_brin_descendant)*0.005) +1,ROUNDDOWN(SUM($C$14:C31)/Espacement_Véhicules+1,0)))</f>
        <v>0</v>
      </c>
      <c r="CX31" s="236">
        <f>IF($C31=0,0,IF(ROUNDDOWN(SUM($C$15:C31)/Espacement_Véhicules+1,0)&gt;NMaxSiègeEquipe*(1+(100-Remplissage_du_brin_descendant)*0.005),NMaxSiègeEquipe*(1+(100-Remplissage_du_brin_descendant)*0.005) +1,ROUNDDOWN(SUM($C$15:C31)/Espacement_Véhicules+1,0)))</f>
        <v>0</v>
      </c>
      <c r="CY31" s="236">
        <f>IF($C31=0,0,IF(ROUNDDOWN(SUM($C$16:C31)/Espacement_Véhicules+1,0)&gt;NMaxSiègeEquipe*(1+(100-Remplissage_du_brin_descendant)*0.005),NMaxSiègeEquipe*(1+(100-Remplissage_du_brin_descendant)*0.005) +1,ROUNDDOWN(SUM($C$16:C31)/Espacement_Véhicules+1,0)))</f>
        <v>0</v>
      </c>
      <c r="CZ31" s="236">
        <f>IF($C31=0,0,IF(ROUNDDOWN(SUM($C$17:C31)/Espacement_Véhicules+1,0)&gt;NMaxSiègeEquipe*(1+(100-Remplissage_du_brin_descendant)*0.005),NMaxSiègeEquipe*(1+(100-Remplissage_du_brin_descendant)*0.005) +1,ROUNDDOWN(SUM($C$17:C31)/Espacement_Véhicules+1,0)))</f>
        <v>0</v>
      </c>
      <c r="DA31" s="236">
        <f>IF($C31=0,0,IF(ROUNDDOWN(SUM($C$18:C31)/Espacement_Véhicules+1,0)&gt;NMaxSiègeEquipe*(1+(100-Remplissage_du_brin_descendant)*0.005),NMaxSiègeEquipe*(1+(100-Remplissage_du_brin_descendant)*0.005) +1,ROUNDDOWN(SUM($C$18:C31)/Espacement_Véhicules+1,0)))</f>
        <v>0</v>
      </c>
      <c r="DB31" s="236">
        <f>IF($C31=0,0,IF(ROUNDDOWN(SUM($C$19:C31)/Espacement_Véhicules+1,0)&gt;NMaxSiègeEquipe*(1+(100-Remplissage_du_brin_descendant)*0.005),NMaxSiègeEquipe*(1+(100-Remplissage_du_brin_descendant)*0.005) +1,ROUNDDOWN(SUM($C$19:C31)/Espacement_Véhicules+1,0)))</f>
        <v>0</v>
      </c>
      <c r="DC31" s="236">
        <f>IF($C31=0,0,IF(ROUNDDOWN(SUM($C$20:C31)/Espacement_Véhicules+1,0)&gt;NMaxSiègeEquipe*(1+(100-Remplissage_du_brin_descendant)*0.005),NMaxSiègeEquipe*(1+(100-Remplissage_du_brin_descendant)*0.005) +1,ROUNDDOWN(SUM($C$20:C31)/Espacement_Véhicules+1,0)))</f>
        <v>0</v>
      </c>
      <c r="DD31" s="236">
        <f>IF($C31=0,0,IF(ROUNDDOWN(SUM($C$21:C31)/Espacement_Véhicules+1,0)&gt;NMaxSiègeEquipe*(1+(100-Remplissage_du_brin_descendant)*0.005),NMaxSiègeEquipe*(1+(100-Remplissage_du_brin_descendant)*0.005) +1,ROUNDDOWN(SUM($C$21:C31)/Espacement_Véhicules+1,0)))</f>
        <v>0</v>
      </c>
      <c r="DE31" s="236">
        <f>IF($C31=0,0,IF(ROUNDDOWN(SUM($C$22:C31)/Espacement_Véhicules+1,0)&gt;NMaxSiègeEquipe*(1+(100-Remplissage_du_brin_descendant)*0.005),NMaxSiègeEquipe*(1+(100-Remplissage_du_brin_descendant)*0.005) +1,ROUNDDOWN(SUM($C$22:C31)/Espacement_Véhicules+1,0)))</f>
        <v>0</v>
      </c>
      <c r="DF31" s="236">
        <f>IF($C31=0,0,IF(ROUNDDOWN(SUM($C$23:C31)/Espacement_Véhicules+1,0)&gt;NMaxSiègeEquipe*(1+(100-Remplissage_du_brin_descendant)*0.005),NMaxSiègeEquipe*(1+(100-Remplissage_du_brin_descendant)*0.005) +1,ROUNDDOWN(SUM($C$23:C31)/Espacement_Véhicules+1,0)))</f>
        <v>0</v>
      </c>
      <c r="DG31" s="236">
        <f>IF($C31=0,0,IF(ROUNDDOWN(SUM($C$24:C31)/Espacement_Véhicules+1,0)&gt;NMaxSiègeEquipe*(1+(100-Remplissage_du_brin_descendant)*0.005),NMaxSiègeEquipe*(1+(100-Remplissage_du_brin_descendant)*0.005) +1,ROUNDDOWN(SUM($C$24:C31)/Espacement_Véhicules+1,0)))</f>
        <v>0</v>
      </c>
      <c r="DH31" s="236">
        <f>IF($C31=0,0,IF(ROUNDDOWN(SUM($C$25:C31)/Espacement_Véhicules+1,0)&gt;NMaxSiègeEquipe*(1+(100-Remplissage_du_brin_descendant)*0.005),NMaxSiègeEquipe*(1+(100-Remplissage_du_brin_descendant)*0.005) +1,ROUNDDOWN(SUM($C$25:C31)/Espacement_Véhicules+1,0)))</f>
        <v>0</v>
      </c>
      <c r="DI31" s="236">
        <f>IF($C31=0,0,IF(ROUNDDOWN(SUM($C$26:C31)/Espacement_Véhicules+1,0)&gt;NMaxSiègeEquipe*(1+(100-Remplissage_du_brin_descendant)*0.005),NMaxSiègeEquipe*(1+(100-Remplissage_du_brin_descendant)*0.005) +1,ROUNDDOWN(SUM($C$26:C31)/Espacement_Véhicules+1,0)))</f>
        <v>0</v>
      </c>
      <c r="DJ31" s="236">
        <f>IF($C31=0,0,IF(ROUNDDOWN(SUM($C$27:C31)/Espacement_Véhicules+1,0)&gt;NMaxSiègeEquipe*(1+(100-Remplissage_du_brin_descendant)*0.005),NMaxSiègeEquipe*(1+(100-Remplissage_du_brin_descendant)*0.005) +1,ROUNDDOWN(SUM($C$27:C31)/Espacement_Véhicules+1,0)))</f>
        <v>0</v>
      </c>
      <c r="DK31" s="236">
        <f>IF($C31=0,0,IF(ROUNDDOWN(SUM($C$28:C31)/Espacement_Véhicules+1,0)&gt;NMaxSiègeEquipe*(1+(100-Remplissage_du_brin_descendant)*0.005),NMaxSiègeEquipe*(1+(100-Remplissage_du_brin_descendant)*0.005) +1,ROUNDDOWN(SUM($C$28:C31)/Espacement_Véhicules+1,0)))</f>
        <v>0</v>
      </c>
      <c r="DL31" s="236">
        <f>IF($C31=0,0,IF(ROUNDDOWN(SUM($C$29:C31)/Espacement_Véhicules+1,0)&gt;NMaxSiègeEquipe*(1+(100-Remplissage_du_brin_descendant)*0.005),NMaxSiègeEquipe*(1+(100-Remplissage_du_brin_descendant)*0.005) +1,ROUNDDOWN(SUM($C$29:C31)/Espacement_Véhicules+1,0)))</f>
        <v>0</v>
      </c>
      <c r="DM31" s="236">
        <f>IF($C31=0,0,IF(ROUNDDOWN(SUM($C30:$C31)/Espacement_Véhicules+1,0)&gt;NMaxSiègeEquipe*(1+(100-Remplissage_du_brin_descendant)*0.005),NMaxSiègeEquipe*(1+(100-Remplissage_du_brin_descendant)*0.005) +1,ROUNDDOWN(SUM($C30:$C31)/Espacement_Véhicules+1,0)))</f>
        <v>0</v>
      </c>
      <c r="DN31" s="236">
        <f>IF($C31=0,0,ROUNDDOWN($C31/Espacement_Véhicules+1,0))</f>
        <v>0</v>
      </c>
      <c r="DO31" s="356">
        <f t="shared" si="5"/>
        <v>0</v>
      </c>
      <c r="DP31" s="356">
        <f t="shared" si="12"/>
        <v>0</v>
      </c>
      <c r="DQ31" s="356">
        <f t="shared" si="16"/>
        <v>0</v>
      </c>
      <c r="DR31" s="356">
        <f t="shared" si="20"/>
        <v>0</v>
      </c>
      <c r="DS31" s="356">
        <f t="shared" si="24"/>
        <v>0</v>
      </c>
      <c r="DT31" s="356">
        <f t="shared" si="28"/>
        <v>0</v>
      </c>
      <c r="DU31" s="356">
        <f t="shared" si="32"/>
        <v>0</v>
      </c>
      <c r="DV31" s="356">
        <f t="shared" si="36"/>
        <v>0</v>
      </c>
      <c r="DW31" s="356">
        <f t="shared" si="40"/>
        <v>0</v>
      </c>
      <c r="DX31" s="356">
        <f t="shared" si="44"/>
        <v>0</v>
      </c>
      <c r="DY31" s="356">
        <f t="shared" si="48"/>
        <v>0</v>
      </c>
      <c r="DZ31" s="356">
        <f t="shared" si="52"/>
        <v>0</v>
      </c>
      <c r="EA31" s="356">
        <f t="shared" si="56"/>
        <v>0</v>
      </c>
      <c r="EB31" s="356">
        <f t="shared" si="60"/>
        <v>0</v>
      </c>
      <c r="EC31" s="356">
        <f t="shared" si="64"/>
        <v>0</v>
      </c>
      <c r="ED31" s="356">
        <f t="shared" si="68"/>
        <v>0</v>
      </c>
      <c r="EE31" s="356">
        <f t="shared" si="72"/>
        <v>0</v>
      </c>
      <c r="EF31" s="356">
        <f t="shared" si="76"/>
        <v>0</v>
      </c>
      <c r="EG31" s="356">
        <f t="shared" si="80"/>
        <v>0</v>
      </c>
      <c r="EH31" s="356">
        <f t="shared" si="84"/>
        <v>0</v>
      </c>
      <c r="EI31" s="356">
        <f>IF($C31=0,0,IF(EI30+$F31*(DI31-DI30)*Remplissage_du_brin_descendant/100+$H31&gt;=Durée_maximale_d_évacuation,Durée_maximale_d_évacuation,IF(EI30+$F31*(DI31-DI30)*Remplissage_du_brin_descendant/100+$G31+$F32*(DI32-DI31)*Remplissage_du_brin_descendant/100+$H32&gt;=Durée_maximale_d_évacuation,EI30+$F31*(DI31-DI30)*Remplissage_du_brin_descendant/100+$H31,EI30+$F31*(DI31-DI30)*Remplissage_du_brin_descendant/100+$G31)))</f>
        <v>0</v>
      </c>
      <c r="EJ31" s="356">
        <f>IF($C31=0,0,IF(EJ30+$F31*(DJ31-DJ30)*Remplissage_du_brin_descendant/100+$H31&gt;=Durée_maximale_d_évacuation,Durée_maximale_d_évacuation,IF(EJ30+$F31*(DJ31-DJ30)*Remplissage_du_brin_descendant/100+$G31+$F32*(DJ32-DJ31)*Remplissage_du_brin_descendant/100+$H32&gt;=Durée_maximale_d_évacuation,EJ30+$F31*(DJ31-DJ30)*Remplissage_du_brin_descendant/100+$H31,EJ30+$F31*(DJ31-DJ30)*Remplissage_du_brin_descendant/100+$G31)))</f>
        <v>0</v>
      </c>
      <c r="EK31" s="356">
        <f>IF($C31=0,0,IF(EK30+$F31*(DK31-DK30)*Remplissage_du_brin_descendant/100+$H31&gt;=Durée_maximale_d_évacuation,Durée_maximale_d_évacuation,IF(EK30+$F31*(DK31-DK30)*Remplissage_du_brin_descendant/100+$G31+$F32*(DK32-DK31)*Remplissage_du_brin_descendant/100+$H32&gt;=Durée_maximale_d_évacuation,EK30+$F31*(DK31-DK30)*Remplissage_du_brin_descendant/100+$H31,EK30+$F31*(DK31-DK30)*Remplissage_du_brin_descendant/100+$G31)))</f>
        <v>0</v>
      </c>
      <c r="EL31" s="356">
        <f>IF($C31=0,0,IF(EL30+$F31*(DL31-DL30)*Remplissage_du_brin_descendant/100+$H31&gt;=Durée_maximale_d_évacuation,Durée_maximale_d_évacuation,IF(EL30+$F31*(DL31-DL30)*Remplissage_du_brin_descendant/100+$G31+$F32*(DL32-DL31)*Remplissage_du_brin_descendant/100+$H32&gt;=Durée_maximale_d_évacuation,EL30+$F31*(DL31-DL30)*Remplissage_du_brin_descendant/100+$H31,EL30+$F31*(DL31-DL30)*Remplissage_du_brin_descendant/100+$G31)))</f>
        <v>0</v>
      </c>
      <c r="EM31" s="356">
        <f>IF($C31=0,0,IF(EM30+$F31*(DM31-DM30)*Remplissage_du_brin_descendant/100+$H31&gt;=Durée_maximale_d_évacuation,Durée_maximale_d_évacuation,IF(EM30+$F31*(DM31-DM30)*Remplissage_du_brin_descendant/100+$G31+$F32*(DM32-DM31)*Remplissage_du_brin_descendant/100+$H32&gt;=Durée_maximale_d_évacuation,EM30+$F31*(DM31-DM30)*Remplissage_du_brin_descendant/100+$H31,EM30+$F31*(DM31-DM30)*Remplissage_du_brin_descendant/100+$G31)))</f>
        <v>0</v>
      </c>
      <c r="EN31" s="356">
        <f>IF($C31=0,0,IF($E31+$F31*DN31*Remplissage_du_brin_descendant/100+$G31+($F32-$F31)*DN32*Remplissage_du_brin_descendant/100+$H32&gt;=Durée_maximale_d_évacuation,$E31+$F31*DN31*Remplissage_du_brin_descendant/100+$H31,$E31+$F31*DN31*Remplissage_du_brin_descendant/100+$G31))</f>
        <v>0</v>
      </c>
      <c r="EO31" s="224">
        <f t="shared" si="6"/>
        <v>0</v>
      </c>
      <c r="EP31" s="224">
        <f t="shared" si="13"/>
        <v>0</v>
      </c>
      <c r="EQ31" s="224">
        <f t="shared" si="17"/>
        <v>0</v>
      </c>
      <c r="ER31" s="224">
        <f t="shared" si="21"/>
        <v>0</v>
      </c>
      <c r="ES31" s="224">
        <f t="shared" si="25"/>
        <v>0</v>
      </c>
      <c r="ET31" s="224">
        <f t="shared" si="29"/>
        <v>0</v>
      </c>
      <c r="EU31" s="224">
        <f t="shared" si="33"/>
        <v>0</v>
      </c>
      <c r="EV31" s="224">
        <f t="shared" si="37"/>
        <v>0</v>
      </c>
      <c r="EW31" s="224">
        <f t="shared" si="41"/>
        <v>0</v>
      </c>
      <c r="EX31" s="224">
        <f t="shared" si="45"/>
        <v>0</v>
      </c>
      <c r="EY31" s="224">
        <f t="shared" si="49"/>
        <v>0</v>
      </c>
      <c r="EZ31" s="224">
        <f t="shared" si="53"/>
        <v>0</v>
      </c>
      <c r="FA31" s="224">
        <f t="shared" si="57"/>
        <v>0</v>
      </c>
      <c r="FB31" s="224">
        <f t="shared" si="61"/>
        <v>0</v>
      </c>
      <c r="FC31" s="224">
        <f t="shared" si="65"/>
        <v>0</v>
      </c>
      <c r="FD31" s="224">
        <f t="shared" si="69"/>
        <v>0</v>
      </c>
      <c r="FE31" s="224">
        <f t="shared" si="73"/>
        <v>0</v>
      </c>
      <c r="FF31" s="224">
        <f t="shared" si="77"/>
        <v>0</v>
      </c>
      <c r="FG31" s="224">
        <f t="shared" si="81"/>
        <v>0</v>
      </c>
      <c r="FH31" s="224">
        <f t="shared" si="85"/>
        <v>0</v>
      </c>
      <c r="FI31" s="224">
        <f>IF(OR(FH31=1,FI30=0),0,IF(DI31=0,0,IF(DI31&lt;NMaxSiègeEquipe*(1+(100-Remplissage_du_brin_descendant)*0.005)+1,IF(EI31&lt;Durée_maximale_d_évacuation,1,0),0)))</f>
        <v>0</v>
      </c>
      <c r="FJ31" s="224">
        <f>IF(OR(FI31=1,FJ30=0),0,IF(DJ31=0,0,IF(DJ31&lt;NMaxSiègeEquipe*(1+(100-Remplissage_du_brin_descendant)*0.005)+1,IF(EJ31&lt;Durée_maximale_d_évacuation,1,0),0)))</f>
        <v>0</v>
      </c>
      <c r="FK31" s="224">
        <f>IF(OR(FJ31=1,FK30=0),0,IF(DK31=0,0,IF(DK31&lt;NMaxSiègeEquipe*(1+(100-Remplissage_du_brin_descendant)*0.005)+1,IF(EK31&lt;Durée_maximale_d_évacuation,1,0),0)))</f>
        <v>0</v>
      </c>
      <c r="FL31" s="224">
        <f>IF(OR(FK31=1,FL30=0),0,IF(DL31=0,0,IF(DL31&lt;NMaxSiègeEquipe*(1+(100-Remplissage_du_brin_descendant)*0.005)+1,IF(EL31&lt;Durée_maximale_d_évacuation,1,0),0)))</f>
        <v>0</v>
      </c>
      <c r="FM31" s="224">
        <f>IF(OR(FL31=1,FM30=0),0,IF(DM31=0,0,IF(DM31&lt;NMaxSiègeEquipe*(1+(100-Remplissage_du_brin_descendant)*0.005+1),IF(EM31&lt;Durée_maximale_d_évacuation,1,0),0)))</f>
        <v>0</v>
      </c>
      <c r="FN31" s="224">
        <f>IF(SUM(EO31:FM31)&gt;0,0,IF(DN31=0,0,IF(DN31&lt;NMaxSiègeEquipe*(1+(100-Remplissage_du_brin_descendant)*0.005)+1,IF(EN31&lt;Durée_maximale_d_évacuation,1,0),0)))</f>
        <v>0</v>
      </c>
      <c r="FO31" s="332">
        <f t="shared" si="7"/>
        <v>0</v>
      </c>
      <c r="FP31" s="236">
        <f t="shared" si="8"/>
        <v>0</v>
      </c>
      <c r="FQ31" s="238">
        <f t="shared" si="9"/>
        <v>0</v>
      </c>
      <c r="FR31" s="224">
        <f>IF(Remplissage_du_brin_descendant=0,0,IF(25&gt;NBPylône,"",IF(SUM(EO31:FM31)=1,FR30,FR30+1)))</f>
        <v>0</v>
      </c>
    </row>
    <row r="32" spans="1:174" x14ac:dyDescent="0.2">
      <c r="A32" s="62" t="str">
        <f>'     2-DL     '!C34</f>
        <v/>
      </c>
      <c r="B32" s="229">
        <f>'     2-DL     '!D34</f>
        <v>0</v>
      </c>
      <c r="E32" s="229"/>
      <c r="F32" s="229"/>
      <c r="G32" s="229"/>
      <c r="H32" s="229"/>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358"/>
      <c r="BG32" s="358"/>
      <c r="BH32" s="358"/>
      <c r="BI32" s="358"/>
      <c r="BJ32" s="226"/>
      <c r="BK32" s="226"/>
      <c r="BL32" s="226"/>
      <c r="BM32" s="226"/>
      <c r="BN32" s="226"/>
      <c r="BO32" s="226"/>
      <c r="BP32" s="226"/>
      <c r="BQ32" s="226"/>
      <c r="BR32" s="226"/>
      <c r="BS32" s="226"/>
      <c r="BT32" s="226"/>
      <c r="BU32" s="226"/>
      <c r="BV32" s="226"/>
      <c r="BW32" s="226"/>
      <c r="BX32" s="226"/>
      <c r="BY32" s="226"/>
      <c r="BZ32" s="226"/>
      <c r="CA32" s="226"/>
      <c r="CB32" s="226"/>
      <c r="CC32" s="226"/>
      <c r="CD32" s="226"/>
      <c r="CE32" s="226"/>
      <c r="CF32" s="226"/>
      <c r="CG32" s="226"/>
      <c r="CH32" s="226"/>
      <c r="CI32" s="226"/>
      <c r="CJ32" s="226"/>
      <c r="CK32" s="197"/>
      <c r="CL32" s="197"/>
      <c r="CM32" s="197"/>
      <c r="CN32" s="229"/>
      <c r="CO32" s="197"/>
      <c r="CP32" s="197"/>
      <c r="CQ32" s="197"/>
      <c r="CR32" s="197"/>
      <c r="CS32" s="197"/>
      <c r="CT32" s="197"/>
      <c r="CU32" s="197"/>
      <c r="CV32" s="197"/>
      <c r="CW32" s="197"/>
      <c r="CX32" s="197"/>
      <c r="CY32" s="197"/>
      <c r="CZ32" s="197"/>
      <c r="DA32" s="197"/>
      <c r="DB32" s="197"/>
      <c r="DC32" s="197"/>
      <c r="DD32" s="197"/>
      <c r="DE32" s="197"/>
      <c r="DF32" s="197"/>
      <c r="DG32" s="197"/>
      <c r="DH32" s="197"/>
      <c r="DI32" s="197"/>
      <c r="DJ32" s="197"/>
      <c r="DK32" s="197"/>
      <c r="DL32" s="197"/>
      <c r="DM32" s="197"/>
      <c r="DN32" s="197"/>
      <c r="DO32" s="197"/>
      <c r="DP32" s="197"/>
      <c r="DQ32" s="197"/>
      <c r="DR32" s="197"/>
      <c r="DS32" s="197"/>
      <c r="DT32" s="197"/>
      <c r="DU32" s="197"/>
      <c r="DV32" s="197"/>
      <c r="DW32" s="197"/>
      <c r="DX32" s="197"/>
      <c r="DY32" s="197"/>
      <c r="DZ32" s="197"/>
      <c r="EA32" s="197"/>
      <c r="EB32" s="197"/>
      <c r="EC32" s="197"/>
      <c r="ED32" s="197"/>
      <c r="EE32" s="197"/>
      <c r="EF32" s="197"/>
      <c r="EG32" s="197"/>
      <c r="EH32" s="197"/>
      <c r="EI32" s="197"/>
      <c r="EJ32" s="197"/>
      <c r="EK32" s="197"/>
      <c r="EL32" s="197"/>
      <c r="EM32" s="197"/>
      <c r="EN32" s="197"/>
      <c r="EO32" s="226"/>
      <c r="EP32" s="226"/>
      <c r="EQ32" s="226"/>
      <c r="ER32" s="226"/>
      <c r="ES32" s="226"/>
      <c r="ET32" s="226"/>
      <c r="EU32" s="226"/>
      <c r="EV32" s="226"/>
      <c r="EW32" s="226"/>
      <c r="EX32" s="226"/>
      <c r="EY32" s="226"/>
      <c r="EZ32" s="226"/>
      <c r="FA32" s="226"/>
      <c r="FB32" s="226"/>
      <c r="FC32" s="226"/>
      <c r="FD32" s="226"/>
      <c r="FE32" s="226"/>
      <c r="FF32" s="226"/>
      <c r="FG32" s="226"/>
      <c r="FH32" s="226"/>
      <c r="FI32" s="226"/>
      <c r="FJ32" s="226"/>
      <c r="FK32" s="226"/>
      <c r="FL32" s="226"/>
      <c r="FM32" s="226"/>
      <c r="FN32" s="226"/>
      <c r="FO32" s="226"/>
      <c r="FP32" s="197"/>
      <c r="FQ32" s="197"/>
      <c r="FR32" s="197"/>
    </row>
    <row r="33" spans="1:174" x14ac:dyDescent="0.2">
      <c r="A33" s="9">
        <f>'     2-DL     '!C35</f>
        <v>0</v>
      </c>
      <c r="B33" s="229"/>
      <c r="C33" s="1"/>
      <c r="D33" s="1"/>
      <c r="E33" s="1"/>
      <c r="F33" s="1"/>
      <c r="G33" s="1"/>
      <c r="H33" s="1"/>
      <c r="I33" s="1"/>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9"/>
      <c r="AK33" s="359"/>
      <c r="AL33" s="359"/>
      <c r="AM33" s="359"/>
      <c r="AN33" s="359"/>
      <c r="AO33" s="359"/>
      <c r="AP33" s="359"/>
      <c r="AQ33" s="359"/>
      <c r="AR33" s="359"/>
      <c r="AS33" s="359"/>
      <c r="AT33" s="359"/>
      <c r="AU33" s="359"/>
      <c r="AV33" s="359"/>
      <c r="AW33" s="359"/>
      <c r="AX33" s="359"/>
      <c r="AY33" s="359"/>
      <c r="AZ33" s="359"/>
      <c r="BA33" s="359"/>
      <c r="BB33" s="359"/>
      <c r="BC33" s="359"/>
      <c r="BD33" s="359"/>
      <c r="BE33" s="359"/>
      <c r="BF33" s="359"/>
      <c r="BG33" s="359"/>
      <c r="BH33" s="359"/>
      <c r="BI33" s="359"/>
      <c r="BJ33" s="227"/>
      <c r="BK33" s="227"/>
      <c r="BL33" s="227"/>
      <c r="BM33" s="227"/>
      <c r="BN33" s="227"/>
      <c r="BO33" s="227"/>
      <c r="BP33" s="227"/>
      <c r="BQ33" s="227"/>
      <c r="BR33" s="227"/>
      <c r="BS33" s="227"/>
      <c r="BT33" s="227"/>
      <c r="BU33" s="227"/>
      <c r="BV33" s="227"/>
      <c r="BW33" s="227"/>
      <c r="BX33" s="227"/>
      <c r="BY33" s="227"/>
      <c r="BZ33" s="227"/>
      <c r="CA33" s="227"/>
      <c r="CB33" s="227"/>
      <c r="CC33" s="227"/>
      <c r="CD33" s="227"/>
      <c r="CE33" s="227"/>
      <c r="CF33" s="227"/>
      <c r="CG33" s="227"/>
      <c r="CH33" s="227"/>
      <c r="CI33" s="227"/>
      <c r="CJ33" s="227"/>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227"/>
      <c r="EP33" s="227"/>
      <c r="EQ33" s="227"/>
      <c r="ER33" s="227"/>
      <c r="ES33" s="227"/>
      <c r="ET33" s="227"/>
      <c r="EU33" s="227"/>
      <c r="EV33" s="227"/>
      <c r="EW33" s="227"/>
      <c r="EX33" s="227"/>
      <c r="EY33" s="227"/>
      <c r="EZ33" s="227"/>
      <c r="FA33" s="227"/>
      <c r="FB33" s="227"/>
      <c r="FC33" s="227"/>
      <c r="FD33" s="227"/>
      <c r="FE33" s="227"/>
      <c r="FF33" s="227"/>
      <c r="FG33" s="227"/>
      <c r="FH33" s="227"/>
      <c r="FI33" s="227"/>
      <c r="FJ33" s="227"/>
      <c r="FK33" s="227"/>
      <c r="FL33" s="227"/>
      <c r="FM33" s="227"/>
      <c r="FN33" s="227"/>
      <c r="FO33" s="227"/>
      <c r="FP33" s="1"/>
      <c r="FQ33" s="1"/>
      <c r="FR33" s="1"/>
    </row>
  </sheetData>
  <sheetProtection selectLockedCells="1"/>
  <mergeCells count="5">
    <mergeCell ref="A2:C2"/>
    <mergeCell ref="J2:CM2"/>
    <mergeCell ref="CO2:FR2"/>
    <mergeCell ref="A1:FR1"/>
    <mergeCell ref="E2:H2"/>
  </mergeCells>
  <phoneticPr fontId="5" type="noConversion"/>
  <conditionalFormatting sqref="FO6:FO31">
    <cfRule type="expression" dxfId="19" priority="2">
      <formula>FO6&gt;#REF!</formula>
    </cfRule>
  </conditionalFormatting>
  <conditionalFormatting sqref="CJ6:CJ31">
    <cfRule type="expression" dxfId="18" priority="1">
      <formula>CJ6&gt;#REF!</formula>
    </cfRule>
  </conditionalFormatting>
  <pageMargins left="0.75" right="0.75" top="1" bottom="1" header="0.4921259845" footer="0.4921259845"/>
  <pageSetup paperSize="9" orientation="portrait" horizontalDpi="4294967292" verticalDpi="4294967292"/>
  <ignoredErrors>
    <ignoredError sqref="C23:C31 A33 C5 I32 B32:C32 F6:H31 E22:E31 C22 DO31:EK31 AJ31:BH31 EL31:EM31" emptyCellReferenc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dimension ref="A1:BL63"/>
  <sheetViews>
    <sheetView showGridLines="0" showZeros="0" workbookViewId="0">
      <selection activeCell="X7" sqref="X7"/>
    </sheetView>
  </sheetViews>
  <sheetFormatPr baseColWidth="10" defaultColWidth="10.85546875" defaultRowHeight="12.75" x14ac:dyDescent="0.2"/>
  <cols>
    <col min="1" max="1" width="8.42578125" style="9" customWidth="1"/>
    <col min="2" max="2" width="8.42578125" style="24" customWidth="1"/>
    <col min="3" max="3" width="8.42578125" style="254" customWidth="1"/>
    <col min="4" max="4" width="1.7109375" style="255" customWidth="1"/>
    <col min="5" max="8" width="8.42578125" style="256" customWidth="1"/>
    <col min="9" max="9" width="1.7109375" style="9" customWidth="1"/>
    <col min="10" max="10" width="3.85546875" style="9" customWidth="1"/>
    <col min="11" max="12" width="3.85546875" style="210" customWidth="1"/>
    <col min="13" max="14" width="8.42578125" style="9" customWidth="1"/>
    <col min="15" max="16" width="8.42578125" style="256" customWidth="1"/>
    <col min="17" max="17" width="8.42578125" style="9" customWidth="1"/>
    <col min="18" max="18" width="9" style="254" bestFit="1" customWidth="1"/>
    <col min="19" max="20" width="8.42578125" style="256" customWidth="1"/>
    <col min="21" max="21" width="1.7109375" style="9" customWidth="1"/>
    <col min="22" max="22" width="3.85546875" style="9" customWidth="1"/>
    <col min="23" max="24" width="3.85546875" style="210" customWidth="1"/>
    <col min="25" max="26" width="8.42578125" style="9" customWidth="1"/>
    <col min="27" max="28" width="8.42578125" style="256" customWidth="1"/>
    <col min="29" max="29" width="8.42578125" style="9" customWidth="1"/>
    <col min="30" max="30" width="9" style="254" bestFit="1" customWidth="1"/>
    <col min="31" max="32" width="8.42578125" style="256" customWidth="1"/>
    <col min="33" max="33" width="1.7109375" style="9" customWidth="1"/>
    <col min="34" max="34" width="8.42578125" style="210" customWidth="1"/>
    <col min="35" max="35" width="8.42578125" style="9" customWidth="1"/>
    <col min="36" max="36" width="8.42578125" style="210" customWidth="1"/>
    <col min="37" max="37" width="8.42578125" style="9" customWidth="1"/>
    <col min="38" max="38" width="8.42578125" style="210" customWidth="1"/>
    <col min="39" max="41" width="8.42578125" style="9" customWidth="1"/>
    <col min="42" max="42" width="8.42578125" style="210" customWidth="1"/>
    <col min="43" max="43" width="8.42578125" style="9" customWidth="1"/>
    <col min="44" max="44" width="8.42578125" style="210" customWidth="1"/>
    <col min="45" max="49" width="8.42578125" style="9" customWidth="1"/>
    <col min="50" max="50" width="2.7109375" style="9" customWidth="1"/>
    <col min="51" max="51" width="12.28515625" style="9" customWidth="1"/>
    <col min="52" max="52" width="9.42578125" style="9" customWidth="1"/>
    <col min="53" max="54" width="7.140625" style="9" customWidth="1"/>
    <col min="55" max="56" width="7.140625" style="210" customWidth="1"/>
    <col min="57" max="57" width="3.85546875" style="9" customWidth="1"/>
    <col min="58" max="58" width="9.42578125" style="210" customWidth="1"/>
    <col min="59" max="59" width="7.140625" style="210" customWidth="1"/>
    <col min="60" max="62" width="7.140625" style="9" customWidth="1"/>
    <col min="63" max="63" width="3.85546875" style="9" customWidth="1"/>
    <col min="64" max="16384" width="10.85546875" style="9"/>
  </cols>
  <sheetData>
    <row r="1" spans="1:64" s="21" customFormat="1" ht="23.1" customHeight="1" x14ac:dyDescent="0.2">
      <c r="A1" s="462" t="s">
        <v>82</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N1" s="462"/>
      <c r="AO1" s="462"/>
      <c r="AP1" s="462"/>
      <c r="AQ1" s="462"/>
      <c r="AR1" s="462"/>
      <c r="AS1" s="462"/>
      <c r="AT1" s="462"/>
      <c r="AU1" s="462"/>
      <c r="AV1" s="462"/>
      <c r="AW1" s="462"/>
      <c r="BA1" s="22"/>
      <c r="BB1" s="22"/>
      <c r="BC1" s="22"/>
      <c r="BD1" s="22"/>
    </row>
    <row r="2" spans="1:64" s="336" customFormat="1" ht="23.1" customHeight="1" x14ac:dyDescent="0.2">
      <c r="A2" s="459" t="s">
        <v>40</v>
      </c>
      <c r="B2" s="460"/>
      <c r="C2" s="460"/>
      <c r="D2" s="337"/>
      <c r="E2" s="470" t="s">
        <v>41</v>
      </c>
      <c r="F2" s="471"/>
      <c r="G2" s="471"/>
      <c r="H2" s="472"/>
      <c r="J2" s="475" t="s">
        <v>545</v>
      </c>
      <c r="K2" s="476"/>
      <c r="L2" s="476"/>
      <c r="M2" s="476"/>
      <c r="N2" s="476"/>
      <c r="O2" s="476"/>
      <c r="P2" s="476"/>
      <c r="Q2" s="476"/>
      <c r="R2" s="476"/>
      <c r="S2" s="476"/>
      <c r="T2" s="477"/>
      <c r="V2" s="473" t="s">
        <v>546</v>
      </c>
      <c r="W2" s="474"/>
      <c r="X2" s="474"/>
      <c r="Y2" s="474"/>
      <c r="Z2" s="474"/>
      <c r="AA2" s="474"/>
      <c r="AB2" s="474"/>
      <c r="AC2" s="474"/>
      <c r="AD2" s="474"/>
      <c r="AE2" s="474"/>
      <c r="AF2" s="474"/>
      <c r="AH2" s="466" t="s">
        <v>43</v>
      </c>
      <c r="AI2" s="467"/>
      <c r="AJ2" s="467"/>
      <c r="AK2" s="467"/>
      <c r="AL2" s="467"/>
      <c r="AM2" s="467"/>
      <c r="AN2" s="467"/>
      <c r="AO2" s="467"/>
      <c r="AP2" s="467"/>
      <c r="AQ2" s="467"/>
      <c r="AR2" s="467"/>
      <c r="AS2" s="467"/>
      <c r="AT2" s="467"/>
      <c r="AU2" s="467"/>
      <c r="AV2" s="467"/>
      <c r="AW2" s="468"/>
      <c r="BC2" s="338"/>
      <c r="BD2" s="338"/>
      <c r="BF2" s="338"/>
      <c r="BG2" s="338"/>
    </row>
    <row r="3" spans="1:64" s="24" customFormat="1" ht="60" customHeight="1" x14ac:dyDescent="0.2">
      <c r="A3" s="228" t="str">
        <f>'C-L'!U1</f>
        <v>Number of the tower at the start of the span</v>
      </c>
      <c r="B3" s="228" t="str">
        <f>'C-L'!W1</f>
        <v>Number of the span</v>
      </c>
      <c r="C3" s="228" t="str">
        <f>'C-L'!Z1</f>
        <v>Span inclined length</v>
      </c>
      <c r="D3" s="243"/>
      <c r="E3" s="324" t="str">
        <f>'     2-DL     '!F4</f>
        <v>T1
Access time to the tower and to arrive to the first vehicle</v>
      </c>
      <c r="F3" s="324" t="str">
        <f>'     2-DL     '!H4</f>
        <v>T2
Average time to evacuate a full vehicle and to go to the next one</v>
      </c>
      <c r="G3" s="324" t="str">
        <f>'     2-DL     '!J4</f>
        <v>T3
Time to cross a tower between two vehicles of the same section</v>
      </c>
      <c r="H3" s="324" t="str">
        <f>'     2-DL     '!L4</f>
        <v>T4
Maximum time to bring back the last passenger to a safe place</v>
      </c>
      <c r="J3" s="334" t="s">
        <v>471</v>
      </c>
      <c r="K3" s="335" t="s">
        <v>68</v>
      </c>
      <c r="L3" s="335" t="s">
        <v>69</v>
      </c>
      <c r="M3" s="264" t="str">
        <f>'C-L'!AC1</f>
        <v>Length of the section</v>
      </c>
      <c r="N3" s="228"/>
      <c r="O3" s="228"/>
      <c r="P3" s="228"/>
      <c r="Q3" s="228"/>
      <c r="R3" s="325" t="s">
        <v>540</v>
      </c>
      <c r="S3" s="325" t="s">
        <v>544</v>
      </c>
      <c r="T3" s="325" t="s">
        <v>539</v>
      </c>
      <c r="V3" s="334" t="s">
        <v>471</v>
      </c>
      <c r="W3" s="335" t="s">
        <v>68</v>
      </c>
      <c r="X3" s="335" t="s">
        <v>69</v>
      </c>
      <c r="Y3" s="264" t="str">
        <f>'C-L'!AO1</f>
        <v>Top station</v>
      </c>
      <c r="Z3" s="228">
        <f>'     2-DL     '!R4</f>
        <v>0</v>
      </c>
      <c r="AA3" s="228">
        <f>'     2-DL     '!T4</f>
        <v>0</v>
      </c>
      <c r="AB3" s="228">
        <f>'     2-DL     '!V4</f>
        <v>0</v>
      </c>
      <c r="AC3" s="228">
        <f>'     2-DL     '!X4</f>
        <v>0</v>
      </c>
      <c r="AD3" s="325" t="s">
        <v>540</v>
      </c>
      <c r="AE3" s="325" t="s">
        <v>544</v>
      </c>
      <c r="AF3" s="325" t="s">
        <v>539</v>
      </c>
      <c r="AH3" s="469" t="s">
        <v>42</v>
      </c>
      <c r="AI3" s="469"/>
      <c r="AJ3" s="469"/>
      <c r="AK3" s="469"/>
      <c r="AL3" s="469"/>
      <c r="AM3" s="469"/>
      <c r="AN3" s="469"/>
      <c r="AO3" s="469"/>
      <c r="AP3" s="469" t="s">
        <v>321</v>
      </c>
      <c r="AQ3" s="469"/>
      <c r="AR3" s="469"/>
      <c r="AS3" s="469"/>
      <c r="AT3" s="469"/>
      <c r="AU3" s="469"/>
      <c r="AV3" s="469"/>
      <c r="AW3" s="469"/>
      <c r="BA3" s="229"/>
      <c r="BB3" s="229"/>
      <c r="BC3" s="229"/>
      <c r="BD3" s="229"/>
    </row>
    <row r="4" spans="1:64" s="24" customFormat="1" ht="24.75" customHeight="1" x14ac:dyDescent="0.2">
      <c r="A4" s="228"/>
      <c r="B4" s="228"/>
      <c r="C4" s="244"/>
      <c r="D4" s="245"/>
      <c r="E4" s="228" t="s">
        <v>302</v>
      </c>
      <c r="F4" s="228" t="s">
        <v>378</v>
      </c>
      <c r="G4" s="200" t="s">
        <v>58</v>
      </c>
      <c r="H4" s="200" t="s">
        <v>379</v>
      </c>
      <c r="J4" s="228"/>
      <c r="K4" s="100"/>
      <c r="L4" s="100"/>
      <c r="M4" s="228"/>
      <c r="N4" s="228"/>
      <c r="O4" s="246"/>
      <c r="P4" s="200"/>
      <c r="Q4" s="200"/>
      <c r="R4" s="100"/>
      <c r="S4" s="100"/>
      <c r="T4" s="100"/>
      <c r="V4" s="228"/>
      <c r="W4" s="100"/>
      <c r="X4" s="100"/>
      <c r="Y4" s="228"/>
      <c r="Z4" s="228"/>
      <c r="AA4" s="246"/>
      <c r="AB4" s="246"/>
      <c r="AC4" s="247"/>
      <c r="AD4" s="100"/>
      <c r="AE4" s="100"/>
      <c r="AF4" s="100"/>
      <c r="AH4" s="83" t="s">
        <v>70</v>
      </c>
      <c r="AI4" s="83" t="s">
        <v>71</v>
      </c>
      <c r="AJ4" s="83" t="s">
        <v>73</v>
      </c>
      <c r="AK4" s="83" t="s">
        <v>72</v>
      </c>
      <c r="AL4" s="83" t="s">
        <v>80</v>
      </c>
      <c r="AM4" s="83" t="s">
        <v>307</v>
      </c>
      <c r="AN4" s="83" t="s">
        <v>81</v>
      </c>
      <c r="AO4" s="83" t="s">
        <v>308</v>
      </c>
      <c r="AP4" s="83" t="s">
        <v>76</v>
      </c>
      <c r="AQ4" s="83" t="s">
        <v>77</v>
      </c>
      <c r="AR4" s="83" t="s">
        <v>78</v>
      </c>
      <c r="AS4" s="83" t="s">
        <v>79</v>
      </c>
      <c r="AT4" s="83" t="s">
        <v>306</v>
      </c>
      <c r="AU4" s="83" t="s">
        <v>309</v>
      </c>
      <c r="AV4" s="83" t="s">
        <v>303</v>
      </c>
      <c r="AW4" s="83" t="s">
        <v>310</v>
      </c>
      <c r="BA4" s="229"/>
      <c r="BB4" s="229"/>
      <c r="BC4" s="229"/>
      <c r="BD4" s="229"/>
    </row>
    <row r="5" spans="1:64" s="201" customFormat="1" ht="12.75" customHeight="1" x14ac:dyDescent="0.2">
      <c r="A5" s="67"/>
      <c r="B5" s="67"/>
      <c r="C5" s="248">
        <f>SUM(C6:C31)</f>
        <v>0</v>
      </c>
      <c r="D5" s="245"/>
      <c r="E5" s="67"/>
      <c r="F5" s="67"/>
      <c r="G5" s="69"/>
      <c r="H5" s="69"/>
      <c r="J5" s="69"/>
      <c r="K5" s="249"/>
      <c r="L5" s="249"/>
      <c r="M5" s="69"/>
      <c r="N5" s="69"/>
      <c r="O5" s="250"/>
      <c r="P5" s="250"/>
      <c r="Q5" s="69"/>
      <c r="R5" s="251"/>
      <c r="S5" s="252"/>
      <c r="T5" s="252"/>
      <c r="V5" s="69"/>
      <c r="W5" s="249"/>
      <c r="X5" s="249"/>
      <c r="Y5" s="69"/>
      <c r="Z5" s="69"/>
      <c r="AA5" s="250"/>
      <c r="AB5" s="250"/>
      <c r="AC5" s="69"/>
      <c r="AD5" s="251"/>
      <c r="AE5" s="252"/>
      <c r="AF5" s="252"/>
      <c r="AH5" s="241"/>
      <c r="AI5" s="73"/>
      <c r="AJ5" s="241"/>
      <c r="AK5" s="73"/>
      <c r="AL5" s="74"/>
      <c r="AM5" s="73">
        <f t="shared" ref="AM5:AM31" si="0">R5</f>
        <v>0</v>
      </c>
      <c r="AN5" s="73"/>
      <c r="AO5" s="73">
        <f t="shared" ref="AO5:AO31" si="1">T5</f>
        <v>0</v>
      </c>
      <c r="AP5" s="241"/>
      <c r="AQ5" s="73"/>
      <c r="AR5" s="241"/>
      <c r="AS5" s="73"/>
      <c r="AT5" s="75"/>
      <c r="AU5" s="75"/>
      <c r="AV5" s="75"/>
      <c r="AW5" s="75"/>
      <c r="AY5" s="463" t="s">
        <v>338</v>
      </c>
      <c r="AZ5" s="464"/>
      <c r="BA5" s="464"/>
      <c r="BB5" s="464"/>
      <c r="BC5" s="464"/>
      <c r="BD5" s="464"/>
      <c r="BE5" s="464"/>
      <c r="BF5" s="464"/>
      <c r="BG5" s="464"/>
      <c r="BH5" s="464"/>
      <c r="BI5" s="464"/>
      <c r="BJ5" s="464"/>
      <c r="BK5" s="465"/>
    </row>
    <row r="6" spans="1:64" ht="13.5" customHeight="1" x14ac:dyDescent="0.2">
      <c r="A6" s="62" t="str">
        <f>'C-CP'!A6</f>
        <v>G2</v>
      </c>
      <c r="B6" s="62" t="str">
        <f>'C-CP'!B6</f>
        <v/>
      </c>
      <c r="C6" s="63">
        <f>'C-CP'!C6</f>
        <v>0</v>
      </c>
      <c r="D6" s="102"/>
      <c r="E6" s="4">
        <f>IF(C6=0,0,'C-CP'!E6)</f>
        <v>0</v>
      </c>
      <c r="F6" s="4">
        <f>IF(C6=0,0,'C-CP'!F6)</f>
        <v>0</v>
      </c>
      <c r="G6" s="4">
        <f>IF(C6=0,0,'C-CP'!G6)</f>
        <v>0</v>
      </c>
      <c r="H6" s="4">
        <f>IF(C6=0,0,'C-CP'!H6)</f>
        <v>0</v>
      </c>
      <c r="I6" s="17"/>
      <c r="J6" s="230">
        <f>'     3-AE     '!G8</f>
        <v>0</v>
      </c>
      <c r="K6" s="7" t="str">
        <f>'C-P'!R3</f>
        <v>G2</v>
      </c>
      <c r="L6" s="231" t="str">
        <f>IF(J7=0,"G1",IF(J6=J7,0,'C-P'!$R4))</f>
        <v>G1</v>
      </c>
      <c r="M6" s="237" t="b">
        <f>IF(J6=1,C6)</f>
        <v>0</v>
      </c>
      <c r="N6" s="76">
        <f>$E6</f>
        <v>0</v>
      </c>
      <c r="O6" s="71" t="e">
        <f t="shared" ref="O6:O31" si="2">ROUNDDOWN($M6/Espacement_Véhicules+1,0)*F6*Remplissage_du_brin_montant/100</f>
        <v>#DIV/0!</v>
      </c>
      <c r="P6" s="71">
        <f>IF(L6=0,G6,0)</f>
        <v>0</v>
      </c>
      <c r="Q6" s="103">
        <f t="shared" ref="Q6:Q31" si="3">IF(L6=0,0,H6)</f>
        <v>0</v>
      </c>
      <c r="R6" s="339" t="e">
        <f t="shared" ref="R6:R31" si="4">IF(L6=0,0,SUM(N6:Q6))</f>
        <v>#DIV/0!</v>
      </c>
      <c r="S6" s="340">
        <f t="shared" ref="S6:S30" si="5">IF(J6=J7,0,ROUNDDOWN($M6/Espacement_Véhicules+1,0))</f>
        <v>0</v>
      </c>
      <c r="T6" s="341" t="b">
        <f>IF(L6=0,0,M6)</f>
        <v>0</v>
      </c>
      <c r="V6" s="235">
        <f>'     3-AE     '!J8</f>
        <v>0</v>
      </c>
      <c r="W6" s="7" t="str">
        <f>'C-P'!R3</f>
        <v>G2</v>
      </c>
      <c r="X6" s="231" t="str">
        <f>IF(V7=0,"G1",IF(V6=V7,0,'C-P'!$R4))</f>
        <v>G1</v>
      </c>
      <c r="Y6" s="237">
        <f>IF(V6=0,0,IF(V6=MAX(J6:J31)+1,C6))</f>
        <v>0</v>
      </c>
      <c r="Z6" s="76">
        <f>IF(V6=0,0,$E6)</f>
        <v>0</v>
      </c>
      <c r="AA6" s="71" t="e">
        <f t="shared" ref="AA6:AA31" si="6">ROUNDDOWN($Y6/Espacement_Véhicules+1,0)*F6*Remplissage_du_brin_descendant/100</f>
        <v>#DIV/0!</v>
      </c>
      <c r="AB6" s="71">
        <f>IF(X6=0,G6,0)</f>
        <v>0</v>
      </c>
      <c r="AC6" s="103">
        <f>IF(X6=0,0,H6)</f>
        <v>0</v>
      </c>
      <c r="AD6" s="339">
        <f>IF(V6=0,0,IF(X6=0,0,SUM(Z6:AC6)))</f>
        <v>0</v>
      </c>
      <c r="AE6" s="340">
        <f t="shared" ref="AE6:AE31" si="7">IF(V6=V7,0,ROUNDDOWN($Y6/Espacement_Véhicules+1,0))</f>
        <v>0</v>
      </c>
      <c r="AF6" s="342">
        <f>IF(X6=0,0,Y6)</f>
        <v>0</v>
      </c>
      <c r="AH6" s="242">
        <f>IF($C6=0,0,J6)</f>
        <v>0</v>
      </c>
      <c r="AI6" s="239" t="str">
        <f t="shared" ref="AI6:AI31" si="8">K6</f>
        <v>G2</v>
      </c>
      <c r="AJ6" s="242">
        <f t="shared" ref="AJ6:AJ31" si="9">IF(C6=0,0,(IF(J6=J7,0,J6)))</f>
        <v>0</v>
      </c>
      <c r="AK6" s="240" t="str">
        <f t="shared" ref="AK6:AK31" si="10">L6</f>
        <v>G1</v>
      </c>
      <c r="AL6" s="259">
        <f t="shared" ref="AL6:AL31" si="11">J6</f>
        <v>0</v>
      </c>
      <c r="AM6" s="79" t="e">
        <f t="shared" si="0"/>
        <v>#DIV/0!</v>
      </c>
      <c r="AN6" s="77">
        <f t="shared" ref="AN6:AN31" si="12">S6</f>
        <v>0</v>
      </c>
      <c r="AO6" s="80" t="b">
        <f t="shared" si="1"/>
        <v>0</v>
      </c>
      <c r="AP6" s="242">
        <f>IF($C6=0,0,V6)</f>
        <v>0</v>
      </c>
      <c r="AQ6" s="240" t="str">
        <f>W6</f>
        <v>G2</v>
      </c>
      <c r="AR6" s="242">
        <f t="shared" ref="AR6:AR31" si="13">IF(C6=0,0,(IF(V6=V7,0,V6)))</f>
        <v>0</v>
      </c>
      <c r="AS6" s="240" t="str">
        <f>X6</f>
        <v>G1</v>
      </c>
      <c r="AT6" s="259">
        <f>V6</f>
        <v>0</v>
      </c>
      <c r="AU6" s="78">
        <f>AD6</f>
        <v>0</v>
      </c>
      <c r="AV6" s="82">
        <f>AE6</f>
        <v>0</v>
      </c>
      <c r="AW6" s="81">
        <f>AF6</f>
        <v>0</v>
      </c>
      <c r="AY6" s="202"/>
      <c r="AZ6" s="203" t="s">
        <v>316</v>
      </c>
      <c r="BA6" s="203" t="s">
        <v>307</v>
      </c>
      <c r="BB6" s="203" t="s">
        <v>315</v>
      </c>
      <c r="BC6" s="203" t="s">
        <v>308</v>
      </c>
      <c r="BD6" s="203" t="s">
        <v>319</v>
      </c>
      <c r="BE6" s="203"/>
      <c r="BF6" s="203" t="s">
        <v>317</v>
      </c>
      <c r="BG6" s="203" t="s">
        <v>309</v>
      </c>
      <c r="BH6" s="203" t="s">
        <v>318</v>
      </c>
      <c r="BI6" s="203" t="s">
        <v>310</v>
      </c>
      <c r="BJ6" s="203" t="s">
        <v>320</v>
      </c>
      <c r="BK6" s="203"/>
    </row>
    <row r="7" spans="1:64" ht="13.5" customHeight="1" x14ac:dyDescent="0.2">
      <c r="A7" s="62" t="str">
        <f>'C-CP'!A7</f>
        <v>G1</v>
      </c>
      <c r="B7" s="62" t="str">
        <f>'C-CP'!B7</f>
        <v/>
      </c>
      <c r="C7" s="63">
        <f>'C-CP'!C7</f>
        <v>0</v>
      </c>
      <c r="D7" s="102"/>
      <c r="E7" s="4">
        <f>IF(C7=0,0,'C-CP'!E7)</f>
        <v>0</v>
      </c>
      <c r="F7" s="4">
        <f>IF(C7=0,0,'C-CP'!F7)</f>
        <v>0</v>
      </c>
      <c r="G7" s="4">
        <f>IF(C7=0,0,'C-CP'!G7)</f>
        <v>0</v>
      </c>
      <c r="H7" s="4">
        <f>IF(C7=0,0,'C-CP'!H7)</f>
        <v>0</v>
      </c>
      <c r="I7" s="17"/>
      <c r="J7" s="235">
        <f>'     3-AE     '!G9</f>
        <v>0</v>
      </c>
      <c r="K7" s="231">
        <f>IF(J7=J6,0,'C-P'!$R4)</f>
        <v>0</v>
      </c>
      <c r="L7" s="231">
        <f>IF(J7=J8,0,'C-P'!$R5)</f>
        <v>0</v>
      </c>
      <c r="M7" s="237">
        <f t="shared" ref="M7:M31" si="14">IF(J7=J6,M6+C7,C7)</f>
        <v>0</v>
      </c>
      <c r="N7" s="76">
        <f>IF(J7=J6,IF(J7=J6,0,E7)+N6,IF(J7=J6,0,E7))</f>
        <v>0</v>
      </c>
      <c r="O7" s="71" t="e">
        <f t="shared" si="2"/>
        <v>#DIV/0!</v>
      </c>
      <c r="P7" s="71">
        <f>IF(J7=J6,IF(L7=0,G7,0)+P6,IF(L7=0,G7,0))</f>
        <v>0</v>
      </c>
      <c r="Q7" s="103">
        <f t="shared" si="3"/>
        <v>0</v>
      </c>
      <c r="R7" s="339">
        <f t="shared" si="4"/>
        <v>0</v>
      </c>
      <c r="S7" s="340">
        <f t="shared" si="5"/>
        <v>0</v>
      </c>
      <c r="T7" s="341">
        <f t="shared" ref="T7:T31" si="15">IF(L7=0,0,M7)</f>
        <v>0</v>
      </c>
      <c r="V7" s="235">
        <f>'     3-AE     '!J9</f>
        <v>0</v>
      </c>
      <c r="W7" s="231">
        <f>IF(V7=V6,0,'C-P'!$R4)</f>
        <v>0</v>
      </c>
      <c r="X7" s="231">
        <f>IF(V7=V8,0,'C-P'!$R5)</f>
        <v>0</v>
      </c>
      <c r="Y7" s="237">
        <f>IF(V7=0,0,IF(V7=V6,Y6+C7,C7))</f>
        <v>0</v>
      </c>
      <c r="Z7" s="76">
        <f>IF(V7=0,0,IF(V7=V6,IF(V7=V6,0,E7)+Z6,IF(V7=V6,0,E7)))</f>
        <v>0</v>
      </c>
      <c r="AA7" s="71" t="e">
        <f t="shared" si="6"/>
        <v>#DIV/0!</v>
      </c>
      <c r="AB7" s="71">
        <f>IF(V7=V6,IF(X7=0,G7,0)+AB6,IF(X7=0,G7,0))</f>
        <v>0</v>
      </c>
      <c r="AC7" s="103">
        <f t="shared" ref="AC7:AC31" si="16">IF(X7=0,0,H7)</f>
        <v>0</v>
      </c>
      <c r="AD7" s="339">
        <f t="shared" ref="AD7:AD31" si="17">IF(X7=0,0,SUM(Z7:AC7))</f>
        <v>0</v>
      </c>
      <c r="AE7" s="340">
        <f t="shared" si="7"/>
        <v>0</v>
      </c>
      <c r="AF7" s="341">
        <f t="shared" ref="AF7:AF31" si="18">IF(X7=0,0,Y7)</f>
        <v>0</v>
      </c>
      <c r="AH7" s="242">
        <f t="shared" ref="AH7:AH31" si="19">IF($C7=0,0,IF(J7=J6,0,J7))</f>
        <v>0</v>
      </c>
      <c r="AI7" s="239">
        <f t="shared" si="8"/>
        <v>0</v>
      </c>
      <c r="AJ7" s="242">
        <f t="shared" si="9"/>
        <v>0</v>
      </c>
      <c r="AK7" s="240">
        <f t="shared" si="10"/>
        <v>0</v>
      </c>
      <c r="AL7" s="259">
        <f t="shared" si="11"/>
        <v>0</v>
      </c>
      <c r="AM7" s="79">
        <f t="shared" si="0"/>
        <v>0</v>
      </c>
      <c r="AN7" s="77">
        <f t="shared" si="12"/>
        <v>0</v>
      </c>
      <c r="AO7" s="80">
        <f t="shared" si="1"/>
        <v>0</v>
      </c>
      <c r="AP7" s="242">
        <f>IF($C7=0,0,IF(V6=V7,0,V7))</f>
        <v>0</v>
      </c>
      <c r="AQ7" s="240">
        <f t="shared" ref="AQ7:AQ31" si="20">W7</f>
        <v>0</v>
      </c>
      <c r="AR7" s="242">
        <f t="shared" si="13"/>
        <v>0</v>
      </c>
      <c r="AS7" s="240">
        <f t="shared" ref="AS7:AS31" si="21">X7</f>
        <v>0</v>
      </c>
      <c r="AT7" s="259">
        <f t="shared" ref="AT7:AT31" si="22">V7</f>
        <v>0</v>
      </c>
      <c r="AU7" s="78">
        <f t="shared" ref="AU7:AU31" si="23">AD7</f>
        <v>0</v>
      </c>
      <c r="AV7" s="82">
        <f t="shared" ref="AV7:AV31" si="24">AE7</f>
        <v>0</v>
      </c>
      <c r="AW7" s="81">
        <f t="shared" ref="AW7:AW31" si="25">AF7</f>
        <v>0</v>
      </c>
      <c r="AY7" s="204" t="str">
        <f>IF('     2-DL     '!D8="","",IF(Remplissage_du_brin_montant&gt;0,"Brin montant","Brin descendant"))</f>
        <v/>
      </c>
      <c r="AZ7" s="205"/>
      <c r="BA7" s="206"/>
      <c r="BB7" s="206"/>
      <c r="BC7" s="206"/>
      <c r="BD7" s="206"/>
      <c r="BE7" s="262"/>
      <c r="BF7" s="263"/>
      <c r="BG7" s="206"/>
      <c r="BH7" s="206"/>
      <c r="BI7" s="206"/>
      <c r="BJ7" s="206"/>
      <c r="BK7" s="206"/>
    </row>
    <row r="8" spans="1:64" ht="13.5" customHeight="1" x14ac:dyDescent="0.2">
      <c r="A8" s="62" t="str">
        <f>'C-CP'!A8</f>
        <v/>
      </c>
      <c r="B8" s="62" t="str">
        <f>'C-CP'!B8</f>
        <v/>
      </c>
      <c r="C8" s="63">
        <f>'C-CP'!C8</f>
        <v>0</v>
      </c>
      <c r="D8" s="102"/>
      <c r="E8" s="4">
        <f>IF(C8=0,0,'C-CP'!E8)</f>
        <v>0</v>
      </c>
      <c r="F8" s="4">
        <f>IF(C8=0,0,'C-CP'!F8)</f>
        <v>0</v>
      </c>
      <c r="G8" s="4">
        <f>IF(C8=0,0,'C-CP'!G8)</f>
        <v>0</v>
      </c>
      <c r="H8" s="4">
        <f>IF(C8=0,0,'C-CP'!H8)</f>
        <v>0</v>
      </c>
      <c r="I8" s="17"/>
      <c r="J8" s="64">
        <f>'     3-AE     '!G10</f>
        <v>0</v>
      </c>
      <c r="K8" s="231">
        <f>IF(J8=J7,0,'C-P'!$R5)</f>
        <v>0</v>
      </c>
      <c r="L8" s="231">
        <f>IF(J8=J9,0,'C-P'!$R6)</f>
        <v>0</v>
      </c>
      <c r="M8" s="237">
        <f t="shared" si="14"/>
        <v>0</v>
      </c>
      <c r="N8" s="76">
        <f t="shared" ref="N8:N31" si="26">IF(J8=J7,IF(J8=J7,0,E8)+N7,IF(J8=J7,0,E8))</f>
        <v>0</v>
      </c>
      <c r="O8" s="71" t="e">
        <f t="shared" si="2"/>
        <v>#DIV/0!</v>
      </c>
      <c r="P8" s="71">
        <f t="shared" ref="P8:P31" si="27">IF(J8=J7,IF(L8=0,G8,0)+P7,IF(L8=0,G8,0))</f>
        <v>0</v>
      </c>
      <c r="Q8" s="103">
        <f t="shared" si="3"/>
        <v>0</v>
      </c>
      <c r="R8" s="339">
        <f t="shared" si="4"/>
        <v>0</v>
      </c>
      <c r="S8" s="340">
        <f t="shared" si="5"/>
        <v>0</v>
      </c>
      <c r="T8" s="341">
        <f t="shared" si="15"/>
        <v>0</v>
      </c>
      <c r="V8" s="64">
        <f>'     3-AE     '!J10</f>
        <v>0</v>
      </c>
      <c r="W8" s="231">
        <f>IF(V8=V7,0,'C-P'!$R5)</f>
        <v>0</v>
      </c>
      <c r="X8" s="231">
        <f>IF(V8=V9,0,'C-P'!$R6)</f>
        <v>0</v>
      </c>
      <c r="Y8" s="237">
        <f t="shared" ref="Y8:Y31" si="28">IF(V8=0,0,IF(V8=V7,Y7+C8,C8))</f>
        <v>0</v>
      </c>
      <c r="Z8" s="76">
        <f t="shared" ref="Z8:Z31" si="29">IF(V8=0,0,IF(V8=V7,IF(V8=V7,0,E8)+Z7,IF(V8=V7,0,E8)))</f>
        <v>0</v>
      </c>
      <c r="AA8" s="71" t="e">
        <f t="shared" si="6"/>
        <v>#DIV/0!</v>
      </c>
      <c r="AB8" s="71">
        <f t="shared" ref="AB8:AB31" si="30">IF(V8=V7,IF(X8=0,G8,0)+AB7,IF(X8=0,G8,0))</f>
        <v>0</v>
      </c>
      <c r="AC8" s="103">
        <f t="shared" si="16"/>
        <v>0</v>
      </c>
      <c r="AD8" s="339">
        <f t="shared" si="17"/>
        <v>0</v>
      </c>
      <c r="AE8" s="340">
        <f t="shared" si="7"/>
        <v>0</v>
      </c>
      <c r="AF8" s="341">
        <f t="shared" si="18"/>
        <v>0</v>
      </c>
      <c r="AH8" s="242">
        <f t="shared" si="19"/>
        <v>0</v>
      </c>
      <c r="AI8" s="239">
        <f t="shared" si="8"/>
        <v>0</v>
      </c>
      <c r="AJ8" s="242">
        <f t="shared" si="9"/>
        <v>0</v>
      </c>
      <c r="AK8" s="240">
        <f t="shared" si="10"/>
        <v>0</v>
      </c>
      <c r="AL8" s="259">
        <f t="shared" si="11"/>
        <v>0</v>
      </c>
      <c r="AM8" s="79">
        <f t="shared" si="0"/>
        <v>0</v>
      </c>
      <c r="AN8" s="77">
        <f t="shared" si="12"/>
        <v>0</v>
      </c>
      <c r="AO8" s="80">
        <f t="shared" si="1"/>
        <v>0</v>
      </c>
      <c r="AP8" s="242">
        <f t="shared" ref="AP8:AP31" si="31">IF($C8=0,0,IF(V7=V8,0,V8))</f>
        <v>0</v>
      </c>
      <c r="AQ8" s="240">
        <f t="shared" si="20"/>
        <v>0</v>
      </c>
      <c r="AR8" s="242">
        <f t="shared" si="13"/>
        <v>0</v>
      </c>
      <c r="AS8" s="240">
        <f t="shared" si="21"/>
        <v>0</v>
      </c>
      <c r="AT8" s="259">
        <f t="shared" si="22"/>
        <v>0</v>
      </c>
      <c r="AU8" s="78">
        <f t="shared" si="23"/>
        <v>0</v>
      </c>
      <c r="AV8" s="82">
        <f t="shared" si="24"/>
        <v>0</v>
      </c>
      <c r="AW8" s="81">
        <f t="shared" si="25"/>
        <v>0</v>
      </c>
      <c r="AY8" s="207">
        <f>1</f>
        <v>1</v>
      </c>
      <c r="AZ8" s="343" t="str">
        <f>IF(BA8&gt;0,AI33&amp;" -&gt; "&amp;AK33,"")</f>
        <v/>
      </c>
      <c r="BA8" s="208">
        <f>AM33</f>
        <v>0</v>
      </c>
      <c r="BB8" s="344">
        <f>AN33</f>
        <v>0</v>
      </c>
      <c r="BC8" s="208">
        <f>AO33</f>
        <v>0</v>
      </c>
      <c r="BD8" s="345">
        <f t="shared" ref="BD8:BD19" si="32">IF(BC8=0,0,ROUNDDOWN(BB8*Nombre_de_personne_par_siège__maximum*Remplissage_du_brin_montant/100,0))</f>
        <v>0</v>
      </c>
      <c r="BE8" s="260">
        <f t="shared" ref="BE8:BE16" si="33">COUNTIF($J$6:$J$30,$AY8)</f>
        <v>0</v>
      </c>
      <c r="BF8" s="346" t="str">
        <f>IF(BK8=0,"",IF(AND(AZ8&lt;&gt;"",AZ7&lt;&gt;""),"",AQ33&amp;" -&gt; "&amp;AS33))</f>
        <v/>
      </c>
      <c r="BG8" s="208">
        <f>IF($BK8=0,0,IF(AND($AZ8&lt;&gt;"",$AZ7&lt;&gt;""),0,AU33))</f>
        <v>0</v>
      </c>
      <c r="BH8" s="344">
        <f>IF($BK8=0,0,IF(AND($AZ8&lt;&gt;"",$AZ7&lt;&gt;""),0,AV33))</f>
        <v>0</v>
      </c>
      <c r="BI8" s="208">
        <f>IF($BK8=0,0,IF(AND($AZ8&lt;&gt;"",$AZ7&lt;&gt;""),0,AW33))</f>
        <v>0</v>
      </c>
      <c r="BJ8" s="345">
        <f t="shared" ref="BJ8:BJ20" si="34">IF(BI8=0,0,ROUNDDOWN(BH8*Nombre_de_personne_par_siège__maximum*Remplissage_du_brin_descendant/100,0))</f>
        <v>0</v>
      </c>
      <c r="BK8" s="209">
        <f>COUNTIF($V$6:$V$30,$AY8)</f>
        <v>0</v>
      </c>
    </row>
    <row r="9" spans="1:64" ht="13.5" customHeight="1" x14ac:dyDescent="0.2">
      <c r="A9" s="62" t="str">
        <f>'C-CP'!A9</f>
        <v/>
      </c>
      <c r="B9" s="62" t="str">
        <f>'C-CP'!B9</f>
        <v/>
      </c>
      <c r="C9" s="63">
        <f>'C-CP'!C9</f>
        <v>0</v>
      </c>
      <c r="D9" s="102"/>
      <c r="E9" s="4">
        <f>IF(C9=0,0,'C-CP'!E9)</f>
        <v>0</v>
      </c>
      <c r="F9" s="4">
        <f>IF(C9=0,0,'C-CP'!F9)</f>
        <v>0</v>
      </c>
      <c r="G9" s="4">
        <f>IF(C9=0,0,'C-CP'!G9)</f>
        <v>0</v>
      </c>
      <c r="H9" s="4">
        <f>IF(C9=0,0,'C-CP'!H9)</f>
        <v>0</v>
      </c>
      <c r="I9" s="17"/>
      <c r="J9" s="64">
        <f>'     3-AE     '!G11</f>
        <v>0</v>
      </c>
      <c r="K9" s="231">
        <f>IF(J9=J8,0,'C-P'!$R6)</f>
        <v>0</v>
      </c>
      <c r="L9" s="231">
        <f>IF(J9=J10,0,'C-P'!$R7)</f>
        <v>0</v>
      </c>
      <c r="M9" s="237">
        <f t="shared" si="14"/>
        <v>0</v>
      </c>
      <c r="N9" s="76">
        <f t="shared" si="26"/>
        <v>0</v>
      </c>
      <c r="O9" s="71" t="e">
        <f t="shared" si="2"/>
        <v>#DIV/0!</v>
      </c>
      <c r="P9" s="71">
        <f t="shared" si="27"/>
        <v>0</v>
      </c>
      <c r="Q9" s="103">
        <f t="shared" si="3"/>
        <v>0</v>
      </c>
      <c r="R9" s="339">
        <f t="shared" si="4"/>
        <v>0</v>
      </c>
      <c r="S9" s="340">
        <f t="shared" si="5"/>
        <v>0</v>
      </c>
      <c r="T9" s="341">
        <f t="shared" si="15"/>
        <v>0</v>
      </c>
      <c r="V9" s="64">
        <f>'     3-AE     '!J11</f>
        <v>0</v>
      </c>
      <c r="W9" s="231">
        <f>IF(V9=V8,0,'C-P'!$R6)</f>
        <v>0</v>
      </c>
      <c r="X9" s="231">
        <f>IF(V9=V10,0,'C-P'!$R7)</f>
        <v>0</v>
      </c>
      <c r="Y9" s="237">
        <f t="shared" si="28"/>
        <v>0</v>
      </c>
      <c r="Z9" s="76">
        <f t="shared" si="29"/>
        <v>0</v>
      </c>
      <c r="AA9" s="71" t="e">
        <f t="shared" si="6"/>
        <v>#DIV/0!</v>
      </c>
      <c r="AB9" s="71">
        <f t="shared" si="30"/>
        <v>0</v>
      </c>
      <c r="AC9" s="103">
        <f t="shared" si="16"/>
        <v>0</v>
      </c>
      <c r="AD9" s="339">
        <f t="shared" si="17"/>
        <v>0</v>
      </c>
      <c r="AE9" s="340">
        <f t="shared" si="7"/>
        <v>0</v>
      </c>
      <c r="AF9" s="341">
        <f t="shared" si="18"/>
        <v>0</v>
      </c>
      <c r="AH9" s="242">
        <f t="shared" si="19"/>
        <v>0</v>
      </c>
      <c r="AI9" s="239">
        <f t="shared" si="8"/>
        <v>0</v>
      </c>
      <c r="AJ9" s="242">
        <f t="shared" si="9"/>
        <v>0</v>
      </c>
      <c r="AK9" s="240">
        <f t="shared" si="10"/>
        <v>0</v>
      </c>
      <c r="AL9" s="259">
        <f t="shared" si="11"/>
        <v>0</v>
      </c>
      <c r="AM9" s="79">
        <f t="shared" si="0"/>
        <v>0</v>
      </c>
      <c r="AN9" s="77">
        <f t="shared" si="12"/>
        <v>0</v>
      </c>
      <c r="AO9" s="80">
        <f t="shared" si="1"/>
        <v>0</v>
      </c>
      <c r="AP9" s="242">
        <f t="shared" si="31"/>
        <v>0</v>
      </c>
      <c r="AQ9" s="240">
        <f t="shared" si="20"/>
        <v>0</v>
      </c>
      <c r="AR9" s="242">
        <f t="shared" si="13"/>
        <v>0</v>
      </c>
      <c r="AS9" s="240">
        <f t="shared" si="21"/>
        <v>0</v>
      </c>
      <c r="AT9" s="259">
        <f t="shared" si="22"/>
        <v>0</v>
      </c>
      <c r="AU9" s="78">
        <f t="shared" si="23"/>
        <v>0</v>
      </c>
      <c r="AV9" s="82">
        <f t="shared" si="24"/>
        <v>0</v>
      </c>
      <c r="AW9" s="81">
        <f t="shared" si="25"/>
        <v>0</v>
      </c>
      <c r="AY9" s="207" t="str">
        <f t="shared" ref="AY9:AY20" si="35">IF(AND(MAX($J$6:$J$31)=AY8,$V$6=MAX($J$6:$J$31)+1),"Brin descendant",IF(AY8="Brin descendant",IF($V$6=AY7+1,AY7+1,""),IF(AY8&gt;=MAX($J$6:$J$31,($V$6:$V$30)),"",IF(AY8+1&gt;MAX($J$6:$J$31,($V$6:$V$30)),"",AY8+1))))</f>
        <v/>
      </c>
      <c r="AZ9" s="343" t="str">
        <f>IF(BA9&gt;0,AI35&amp;" -&gt; "&amp;AK35,"")</f>
        <v/>
      </c>
      <c r="BA9" s="208">
        <f>AM35</f>
        <v>0</v>
      </c>
      <c r="BB9" s="344">
        <f>AN35</f>
        <v>0</v>
      </c>
      <c r="BC9" s="208">
        <f>AO35</f>
        <v>0</v>
      </c>
      <c r="BD9" s="345">
        <f t="shared" si="32"/>
        <v>0</v>
      </c>
      <c r="BE9" s="260">
        <f t="shared" si="33"/>
        <v>0</v>
      </c>
      <c r="BF9" s="346" t="str">
        <f>IF(BK9=0,"",IF(AND(AZ9&lt;&gt;"",AZ8&lt;&gt;""),AQ35&amp;" -&gt; "&amp;AS35,AQ33&amp;" -&gt; "&amp;AS33))</f>
        <v/>
      </c>
      <c r="BG9" s="208">
        <f>IF($BK9=0,0,IF(AND($AZ9&lt;&gt;"",$AZ8&lt;&gt;""),AU37,AU35))</f>
        <v>0</v>
      </c>
      <c r="BH9" s="344">
        <f>IF($BK9=0,0,IF(AND($AZ9&lt;&gt;"",$AZ8&lt;&gt;""),AV37,AV35))</f>
        <v>0</v>
      </c>
      <c r="BI9" s="208">
        <f>IF($BK9=0,0,IF(AND($AZ9&lt;&gt;"",$AZ8&lt;&gt;""),AW37,AW35))</f>
        <v>0</v>
      </c>
      <c r="BJ9" s="345">
        <f t="shared" si="34"/>
        <v>0</v>
      </c>
      <c r="BK9" s="209">
        <f t="shared" ref="BK9:BK20" si="36">COUNTIF($V$6:$V$30,$AY9)</f>
        <v>0</v>
      </c>
    </row>
    <row r="10" spans="1:64" ht="13.5" customHeight="1" x14ac:dyDescent="0.2">
      <c r="A10" s="62" t="str">
        <f>'C-CP'!A10</f>
        <v/>
      </c>
      <c r="B10" s="62" t="str">
        <f>'C-CP'!B10</f>
        <v/>
      </c>
      <c r="C10" s="63">
        <f>'C-CP'!C10</f>
        <v>0</v>
      </c>
      <c r="D10" s="102"/>
      <c r="E10" s="4">
        <f>IF(C10=0,0,'C-CP'!E10)</f>
        <v>0</v>
      </c>
      <c r="F10" s="4">
        <f>IF(C10=0,0,'C-CP'!F10)</f>
        <v>0</v>
      </c>
      <c r="G10" s="4">
        <f>IF(C10=0,0,'C-CP'!G10)</f>
        <v>0</v>
      </c>
      <c r="H10" s="4">
        <f>IF(C10=0,0,'C-CP'!H10)</f>
        <v>0</v>
      </c>
      <c r="I10" s="17"/>
      <c r="J10" s="64">
        <f>'     3-AE     '!G12</f>
        <v>0</v>
      </c>
      <c r="K10" s="231">
        <f>IF(J10=J9,0,'C-P'!$R7)</f>
        <v>0</v>
      </c>
      <c r="L10" s="231">
        <f>IF(J10=J11,0,'C-P'!$R8)</f>
        <v>0</v>
      </c>
      <c r="M10" s="237">
        <f t="shared" si="14"/>
        <v>0</v>
      </c>
      <c r="N10" s="76">
        <f t="shared" si="26"/>
        <v>0</v>
      </c>
      <c r="O10" s="71" t="e">
        <f t="shared" si="2"/>
        <v>#DIV/0!</v>
      </c>
      <c r="P10" s="71">
        <f t="shared" si="27"/>
        <v>0</v>
      </c>
      <c r="Q10" s="103">
        <f t="shared" si="3"/>
        <v>0</v>
      </c>
      <c r="R10" s="339">
        <f t="shared" si="4"/>
        <v>0</v>
      </c>
      <c r="S10" s="340">
        <f t="shared" si="5"/>
        <v>0</v>
      </c>
      <c r="T10" s="341">
        <f t="shared" si="15"/>
        <v>0</v>
      </c>
      <c r="V10" s="64">
        <f>'     3-AE     '!J12</f>
        <v>0</v>
      </c>
      <c r="W10" s="231">
        <f>IF(V10=V9,0,'C-P'!$R7)</f>
        <v>0</v>
      </c>
      <c r="X10" s="231">
        <f>IF(V10=V11,0,'C-P'!$R8)</f>
        <v>0</v>
      </c>
      <c r="Y10" s="237">
        <f t="shared" si="28"/>
        <v>0</v>
      </c>
      <c r="Z10" s="76">
        <f t="shared" si="29"/>
        <v>0</v>
      </c>
      <c r="AA10" s="71" t="e">
        <f t="shared" si="6"/>
        <v>#DIV/0!</v>
      </c>
      <c r="AB10" s="71">
        <f t="shared" si="30"/>
        <v>0</v>
      </c>
      <c r="AC10" s="103">
        <f t="shared" si="16"/>
        <v>0</v>
      </c>
      <c r="AD10" s="339">
        <f t="shared" si="17"/>
        <v>0</v>
      </c>
      <c r="AE10" s="340">
        <f t="shared" si="7"/>
        <v>0</v>
      </c>
      <c r="AF10" s="341">
        <f t="shared" si="18"/>
        <v>0</v>
      </c>
      <c r="AH10" s="242">
        <f t="shared" si="19"/>
        <v>0</v>
      </c>
      <c r="AI10" s="239">
        <f t="shared" si="8"/>
        <v>0</v>
      </c>
      <c r="AJ10" s="242">
        <f t="shared" si="9"/>
        <v>0</v>
      </c>
      <c r="AK10" s="240">
        <f t="shared" si="10"/>
        <v>0</v>
      </c>
      <c r="AL10" s="259">
        <f t="shared" si="11"/>
        <v>0</v>
      </c>
      <c r="AM10" s="79">
        <f t="shared" si="0"/>
        <v>0</v>
      </c>
      <c r="AN10" s="77">
        <f t="shared" si="12"/>
        <v>0</v>
      </c>
      <c r="AO10" s="80">
        <f t="shared" si="1"/>
        <v>0</v>
      </c>
      <c r="AP10" s="242">
        <f t="shared" si="31"/>
        <v>0</v>
      </c>
      <c r="AQ10" s="240">
        <f t="shared" si="20"/>
        <v>0</v>
      </c>
      <c r="AR10" s="242">
        <f t="shared" si="13"/>
        <v>0</v>
      </c>
      <c r="AS10" s="240">
        <f t="shared" si="21"/>
        <v>0</v>
      </c>
      <c r="AT10" s="259">
        <f t="shared" si="22"/>
        <v>0</v>
      </c>
      <c r="AU10" s="78">
        <f t="shared" si="23"/>
        <v>0</v>
      </c>
      <c r="AV10" s="82">
        <f t="shared" si="24"/>
        <v>0</v>
      </c>
      <c r="AW10" s="81">
        <f t="shared" si="25"/>
        <v>0</v>
      </c>
      <c r="AY10" s="207" t="str">
        <f t="shared" si="35"/>
        <v/>
      </c>
      <c r="AZ10" s="343" t="str">
        <f>IF(BA10&gt;0,AI37&amp;" -&gt; "&amp;AK37,"")</f>
        <v/>
      </c>
      <c r="BA10" s="208">
        <f>AM37</f>
        <v>0</v>
      </c>
      <c r="BB10" s="344">
        <f>AN37</f>
        <v>0</v>
      </c>
      <c r="BC10" s="208">
        <f>AO37</f>
        <v>0</v>
      </c>
      <c r="BD10" s="345">
        <f t="shared" si="32"/>
        <v>0</v>
      </c>
      <c r="BE10" s="260">
        <f t="shared" si="33"/>
        <v>0</v>
      </c>
      <c r="BF10" s="346" t="str">
        <f>IF(BK10=0,"",IF(AND(AZ10&lt;&gt;"",AZ9&lt;&gt;""),AQ37&amp;" -&gt; "&amp;AS37,AQ35&amp;" -&gt; "&amp;AS34))</f>
        <v/>
      </c>
      <c r="BG10" s="208">
        <f>IF($BK10=0,0,IF(AND($AZ10&lt;&gt;"",$AZ9&lt;&gt;""),AU37,AU35))</f>
        <v>0</v>
      </c>
      <c r="BH10" s="344">
        <f>IF($BK10=0,0,IF(AND($AZ10&lt;&gt;"",$AZ9&lt;&gt;""),AV37,AV35))</f>
        <v>0</v>
      </c>
      <c r="BI10" s="208">
        <f>IF($BK10=0,0,IF(AND($AZ10&lt;&gt;"",$AZ9&lt;&gt;""),AW37,AW35))</f>
        <v>0</v>
      </c>
      <c r="BJ10" s="345">
        <f t="shared" si="34"/>
        <v>0</v>
      </c>
      <c r="BK10" s="209">
        <f t="shared" si="36"/>
        <v>0</v>
      </c>
      <c r="BL10" s="253"/>
    </row>
    <row r="11" spans="1:64" ht="13.5" customHeight="1" x14ac:dyDescent="0.2">
      <c r="A11" s="62" t="str">
        <f>'C-CP'!A11</f>
        <v/>
      </c>
      <c r="B11" s="62" t="str">
        <f>'C-CP'!B11</f>
        <v/>
      </c>
      <c r="C11" s="63">
        <f>'C-CP'!C11</f>
        <v>0</v>
      </c>
      <c r="D11" s="102"/>
      <c r="E11" s="4">
        <f>IF(C11=0,0,'C-CP'!E11)</f>
        <v>0</v>
      </c>
      <c r="F11" s="4">
        <f>IF(C11=0,0,'C-CP'!F11)</f>
        <v>0</v>
      </c>
      <c r="G11" s="4">
        <f>IF(C11=0,0,'C-CP'!G11)</f>
        <v>0</v>
      </c>
      <c r="H11" s="4">
        <f>IF(C11=0,0,'C-CP'!H11)</f>
        <v>0</v>
      </c>
      <c r="I11" s="17"/>
      <c r="J11" s="64">
        <f>'     3-AE     '!G13</f>
        <v>0</v>
      </c>
      <c r="K11" s="231">
        <f>IF(J11=J10,0,'C-P'!$R8)</f>
        <v>0</v>
      </c>
      <c r="L11" s="231">
        <f>IF(J11=J12,0,'C-P'!$R9)</f>
        <v>0</v>
      </c>
      <c r="M11" s="237">
        <f t="shared" si="14"/>
        <v>0</v>
      </c>
      <c r="N11" s="76">
        <f t="shared" si="26"/>
        <v>0</v>
      </c>
      <c r="O11" s="71" t="e">
        <f t="shared" si="2"/>
        <v>#DIV/0!</v>
      </c>
      <c r="P11" s="71">
        <f t="shared" si="27"/>
        <v>0</v>
      </c>
      <c r="Q11" s="103">
        <f t="shared" si="3"/>
        <v>0</v>
      </c>
      <c r="R11" s="339">
        <f t="shared" si="4"/>
        <v>0</v>
      </c>
      <c r="S11" s="340">
        <f t="shared" si="5"/>
        <v>0</v>
      </c>
      <c r="T11" s="341">
        <f t="shared" si="15"/>
        <v>0</v>
      </c>
      <c r="V11" s="64">
        <f>'     3-AE     '!J13</f>
        <v>0</v>
      </c>
      <c r="W11" s="231">
        <f>IF(V11=V10,0,'C-P'!$R8)</f>
        <v>0</v>
      </c>
      <c r="X11" s="231">
        <f>IF(V11=V12,0,'C-P'!$R9)</f>
        <v>0</v>
      </c>
      <c r="Y11" s="237">
        <f t="shared" si="28"/>
        <v>0</v>
      </c>
      <c r="Z11" s="76">
        <f t="shared" si="29"/>
        <v>0</v>
      </c>
      <c r="AA11" s="71" t="e">
        <f t="shared" si="6"/>
        <v>#DIV/0!</v>
      </c>
      <c r="AB11" s="71">
        <f t="shared" si="30"/>
        <v>0</v>
      </c>
      <c r="AC11" s="103">
        <f t="shared" si="16"/>
        <v>0</v>
      </c>
      <c r="AD11" s="339">
        <f t="shared" si="17"/>
        <v>0</v>
      </c>
      <c r="AE11" s="340">
        <f t="shared" si="7"/>
        <v>0</v>
      </c>
      <c r="AF11" s="341">
        <f t="shared" si="18"/>
        <v>0</v>
      </c>
      <c r="AH11" s="242">
        <f t="shared" si="19"/>
        <v>0</v>
      </c>
      <c r="AI11" s="239">
        <f t="shared" si="8"/>
        <v>0</v>
      </c>
      <c r="AJ11" s="242">
        <f t="shared" si="9"/>
        <v>0</v>
      </c>
      <c r="AK11" s="240">
        <f t="shared" si="10"/>
        <v>0</v>
      </c>
      <c r="AL11" s="259">
        <f t="shared" si="11"/>
        <v>0</v>
      </c>
      <c r="AM11" s="79">
        <f t="shared" si="0"/>
        <v>0</v>
      </c>
      <c r="AN11" s="77">
        <f t="shared" si="12"/>
        <v>0</v>
      </c>
      <c r="AO11" s="80">
        <f t="shared" si="1"/>
        <v>0</v>
      </c>
      <c r="AP11" s="242">
        <f t="shared" si="31"/>
        <v>0</v>
      </c>
      <c r="AQ11" s="240">
        <f t="shared" si="20"/>
        <v>0</v>
      </c>
      <c r="AR11" s="242">
        <f t="shared" si="13"/>
        <v>0</v>
      </c>
      <c r="AS11" s="240">
        <f t="shared" si="21"/>
        <v>0</v>
      </c>
      <c r="AT11" s="259">
        <f t="shared" si="22"/>
        <v>0</v>
      </c>
      <c r="AU11" s="78">
        <f t="shared" si="23"/>
        <v>0</v>
      </c>
      <c r="AV11" s="82">
        <f t="shared" si="24"/>
        <v>0</v>
      </c>
      <c r="AW11" s="81">
        <f t="shared" si="25"/>
        <v>0</v>
      </c>
      <c r="AY11" s="207" t="str">
        <f t="shared" si="35"/>
        <v/>
      </c>
      <c r="AZ11" s="343" t="str">
        <f>IF(BA11&gt;0,AI39&amp;" -&gt; "&amp;AK39,"")</f>
        <v/>
      </c>
      <c r="BA11" s="208">
        <f>AM39</f>
        <v>0</v>
      </c>
      <c r="BB11" s="344">
        <f>AN39</f>
        <v>0</v>
      </c>
      <c r="BC11" s="208">
        <f>AO39</f>
        <v>0</v>
      </c>
      <c r="BD11" s="345">
        <f t="shared" si="32"/>
        <v>0</v>
      </c>
      <c r="BE11" s="260">
        <f t="shared" si="33"/>
        <v>0</v>
      </c>
      <c r="BF11" s="346" t="str">
        <f>IF(BK11=0,"",IF(AND(AZ11&lt;&gt;"",AZ10&lt;&gt;""),AQ39&amp;" -&gt; "&amp;AS39,AQ37&amp;" -&gt; "&amp;AS37))</f>
        <v/>
      </c>
      <c r="BG11" s="208">
        <f>IF($BK11=0,0,IF(AND($AZ11&lt;&gt;"",$AZ10&lt;&gt;""),AU39,AU37))</f>
        <v>0</v>
      </c>
      <c r="BH11" s="344">
        <f>IF($BK11=0,0,IF(AND($AZ11&lt;&gt;"",$AZ10&lt;&gt;""),AV39,AV37))</f>
        <v>0</v>
      </c>
      <c r="BI11" s="208">
        <f>IF($BK11=0,0,IF(AND($AZ11&lt;&gt;"",$AZ10&lt;&gt;""),AW39,AW37))</f>
        <v>0</v>
      </c>
      <c r="BJ11" s="345">
        <f t="shared" si="34"/>
        <v>0</v>
      </c>
      <c r="BK11" s="209">
        <f t="shared" si="36"/>
        <v>0</v>
      </c>
    </row>
    <row r="12" spans="1:64" ht="13.5" customHeight="1" x14ac:dyDescent="0.2">
      <c r="A12" s="62" t="str">
        <f>'C-CP'!A12</f>
        <v/>
      </c>
      <c r="B12" s="62" t="str">
        <f>'C-CP'!B12</f>
        <v/>
      </c>
      <c r="C12" s="63">
        <f>'C-CP'!C12</f>
        <v>0</v>
      </c>
      <c r="D12" s="102"/>
      <c r="E12" s="4">
        <f>IF(C12=0,0,'C-CP'!E12)</f>
        <v>0</v>
      </c>
      <c r="F12" s="4">
        <f>IF(C12=0,0,'C-CP'!F12)</f>
        <v>0</v>
      </c>
      <c r="G12" s="4">
        <f>IF(C12=0,0,'C-CP'!G12)</f>
        <v>0</v>
      </c>
      <c r="H12" s="4">
        <f>IF(C12=0,0,'C-CP'!H12)</f>
        <v>0</v>
      </c>
      <c r="I12" s="17"/>
      <c r="J12" s="64">
        <f>'     3-AE     '!G14</f>
        <v>0</v>
      </c>
      <c r="K12" s="231">
        <f>IF(J12=J11,0,'C-P'!$R9)</f>
        <v>0</v>
      </c>
      <c r="L12" s="231">
        <f>IF(J12=J13,0,'C-P'!$R10)</f>
        <v>0</v>
      </c>
      <c r="M12" s="237">
        <f t="shared" si="14"/>
        <v>0</v>
      </c>
      <c r="N12" s="76">
        <f t="shared" si="26"/>
        <v>0</v>
      </c>
      <c r="O12" s="71" t="e">
        <f t="shared" si="2"/>
        <v>#DIV/0!</v>
      </c>
      <c r="P12" s="71">
        <f t="shared" si="27"/>
        <v>0</v>
      </c>
      <c r="Q12" s="103">
        <f t="shared" si="3"/>
        <v>0</v>
      </c>
      <c r="R12" s="339">
        <f t="shared" si="4"/>
        <v>0</v>
      </c>
      <c r="S12" s="340">
        <f t="shared" si="5"/>
        <v>0</v>
      </c>
      <c r="T12" s="341">
        <f t="shared" si="15"/>
        <v>0</v>
      </c>
      <c r="V12" s="64">
        <f>'     3-AE     '!J14</f>
        <v>0</v>
      </c>
      <c r="W12" s="231">
        <f>IF(V12=V11,0,'C-P'!$R9)</f>
        <v>0</v>
      </c>
      <c r="X12" s="231">
        <f>IF(V12=V13,0,'C-P'!$R10)</f>
        <v>0</v>
      </c>
      <c r="Y12" s="237">
        <f t="shared" si="28"/>
        <v>0</v>
      </c>
      <c r="Z12" s="76">
        <f t="shared" si="29"/>
        <v>0</v>
      </c>
      <c r="AA12" s="71" t="e">
        <f t="shared" si="6"/>
        <v>#DIV/0!</v>
      </c>
      <c r="AB12" s="71">
        <f t="shared" si="30"/>
        <v>0</v>
      </c>
      <c r="AC12" s="103">
        <f t="shared" si="16"/>
        <v>0</v>
      </c>
      <c r="AD12" s="339">
        <f t="shared" si="17"/>
        <v>0</v>
      </c>
      <c r="AE12" s="340">
        <f t="shared" si="7"/>
        <v>0</v>
      </c>
      <c r="AF12" s="341">
        <f t="shared" si="18"/>
        <v>0</v>
      </c>
      <c r="AH12" s="242">
        <f t="shared" si="19"/>
        <v>0</v>
      </c>
      <c r="AI12" s="239">
        <f t="shared" si="8"/>
        <v>0</v>
      </c>
      <c r="AJ12" s="242">
        <f t="shared" si="9"/>
        <v>0</v>
      </c>
      <c r="AK12" s="240">
        <f t="shared" si="10"/>
        <v>0</v>
      </c>
      <c r="AL12" s="259">
        <f t="shared" si="11"/>
        <v>0</v>
      </c>
      <c r="AM12" s="79">
        <f t="shared" si="0"/>
        <v>0</v>
      </c>
      <c r="AN12" s="77">
        <f t="shared" si="12"/>
        <v>0</v>
      </c>
      <c r="AO12" s="80">
        <f t="shared" si="1"/>
        <v>0</v>
      </c>
      <c r="AP12" s="242">
        <f t="shared" si="31"/>
        <v>0</v>
      </c>
      <c r="AQ12" s="240">
        <f t="shared" si="20"/>
        <v>0</v>
      </c>
      <c r="AR12" s="242">
        <f t="shared" si="13"/>
        <v>0</v>
      </c>
      <c r="AS12" s="240">
        <f t="shared" si="21"/>
        <v>0</v>
      </c>
      <c r="AT12" s="259">
        <f t="shared" si="22"/>
        <v>0</v>
      </c>
      <c r="AU12" s="78">
        <f t="shared" si="23"/>
        <v>0</v>
      </c>
      <c r="AV12" s="82">
        <f t="shared" si="24"/>
        <v>0</v>
      </c>
      <c r="AW12" s="81">
        <f t="shared" si="25"/>
        <v>0</v>
      </c>
      <c r="AY12" s="207" t="str">
        <f t="shared" si="35"/>
        <v/>
      </c>
      <c r="AZ12" s="343" t="str">
        <f>IF(BA12&gt;0,AI41&amp;" -&gt; "&amp;AK41,"")</f>
        <v/>
      </c>
      <c r="BA12" s="208">
        <f>AM41</f>
        <v>0</v>
      </c>
      <c r="BB12" s="344">
        <f>AN41</f>
        <v>0</v>
      </c>
      <c r="BC12" s="208">
        <f>AO41</f>
        <v>0</v>
      </c>
      <c r="BD12" s="345">
        <f t="shared" si="32"/>
        <v>0</v>
      </c>
      <c r="BE12" s="260">
        <f t="shared" si="33"/>
        <v>0</v>
      </c>
      <c r="BF12" s="346" t="str">
        <f>IF(BK12=0,"",IF(AND(AZ12&lt;&gt;"",AZ11&lt;&gt;""),AQ41&amp;" -&gt; "&amp;AS41,AQ39&amp;" -&gt; "&amp;AS39))</f>
        <v/>
      </c>
      <c r="BG12" s="208">
        <f>IF($BK12=0,0,IF(AND($AZ12&lt;&gt;"",$AZ11&lt;&gt;""),AU41,AU39))</f>
        <v>0</v>
      </c>
      <c r="BH12" s="344">
        <f>IF($BK12=0,0,IF(AND($AZ12&lt;&gt;"",$AZ11&lt;&gt;""),AV41,AV39))</f>
        <v>0</v>
      </c>
      <c r="BI12" s="208">
        <f>IF($BK12=0,0,IF(AND($AZ12&lt;&gt;"",$AZ11&lt;&gt;""),AW41,AW39))</f>
        <v>0</v>
      </c>
      <c r="BJ12" s="345">
        <f t="shared" si="34"/>
        <v>0</v>
      </c>
      <c r="BK12" s="209">
        <f t="shared" si="36"/>
        <v>0</v>
      </c>
    </row>
    <row r="13" spans="1:64" ht="13.5" customHeight="1" x14ac:dyDescent="0.2">
      <c r="A13" s="62" t="str">
        <f>'C-CP'!A13</f>
        <v/>
      </c>
      <c r="B13" s="62" t="str">
        <f>'C-CP'!B13</f>
        <v/>
      </c>
      <c r="C13" s="63">
        <f>'C-CP'!C13</f>
        <v>0</v>
      </c>
      <c r="D13" s="102"/>
      <c r="E13" s="4">
        <f>IF(C13=0,0,'C-CP'!E13)</f>
        <v>0</v>
      </c>
      <c r="F13" s="4">
        <f>IF(C13=0,0,'C-CP'!F13)</f>
        <v>0</v>
      </c>
      <c r="G13" s="4">
        <f>IF(C13=0,0,'C-CP'!G13)</f>
        <v>0</v>
      </c>
      <c r="H13" s="4">
        <f>IF(C13=0,0,'C-CP'!H13)</f>
        <v>0</v>
      </c>
      <c r="I13" s="17"/>
      <c r="J13" s="64">
        <f>'     3-AE     '!G15</f>
        <v>0</v>
      </c>
      <c r="K13" s="231">
        <f>IF(J13=J12,0,'C-P'!$R10)</f>
        <v>0</v>
      </c>
      <c r="L13" s="231">
        <f>IF(J13=J14,0,'C-P'!$R11)</f>
        <v>0</v>
      </c>
      <c r="M13" s="237">
        <f t="shared" si="14"/>
        <v>0</v>
      </c>
      <c r="N13" s="76">
        <f t="shared" si="26"/>
        <v>0</v>
      </c>
      <c r="O13" s="71" t="e">
        <f t="shared" si="2"/>
        <v>#DIV/0!</v>
      </c>
      <c r="P13" s="71">
        <f t="shared" si="27"/>
        <v>0</v>
      </c>
      <c r="Q13" s="103">
        <f t="shared" si="3"/>
        <v>0</v>
      </c>
      <c r="R13" s="339">
        <f t="shared" si="4"/>
        <v>0</v>
      </c>
      <c r="S13" s="340">
        <f t="shared" si="5"/>
        <v>0</v>
      </c>
      <c r="T13" s="341">
        <f t="shared" si="15"/>
        <v>0</v>
      </c>
      <c r="V13" s="64">
        <f>'     3-AE     '!J15</f>
        <v>0</v>
      </c>
      <c r="W13" s="231">
        <f>IF(V13=V12,0,'C-P'!$R10)</f>
        <v>0</v>
      </c>
      <c r="X13" s="231">
        <f>IF(V13=V14,0,'C-P'!$R11)</f>
        <v>0</v>
      </c>
      <c r="Y13" s="237">
        <f t="shared" si="28"/>
        <v>0</v>
      </c>
      <c r="Z13" s="76">
        <f t="shared" si="29"/>
        <v>0</v>
      </c>
      <c r="AA13" s="71" t="e">
        <f t="shared" si="6"/>
        <v>#DIV/0!</v>
      </c>
      <c r="AB13" s="71">
        <f t="shared" si="30"/>
        <v>0</v>
      </c>
      <c r="AC13" s="103">
        <f t="shared" si="16"/>
        <v>0</v>
      </c>
      <c r="AD13" s="339">
        <f t="shared" si="17"/>
        <v>0</v>
      </c>
      <c r="AE13" s="340">
        <f t="shared" si="7"/>
        <v>0</v>
      </c>
      <c r="AF13" s="341">
        <f t="shared" si="18"/>
        <v>0</v>
      </c>
      <c r="AH13" s="242">
        <f t="shared" si="19"/>
        <v>0</v>
      </c>
      <c r="AI13" s="239">
        <f t="shared" si="8"/>
        <v>0</v>
      </c>
      <c r="AJ13" s="242">
        <f t="shared" si="9"/>
        <v>0</v>
      </c>
      <c r="AK13" s="240">
        <f t="shared" si="10"/>
        <v>0</v>
      </c>
      <c r="AL13" s="259">
        <f t="shared" si="11"/>
        <v>0</v>
      </c>
      <c r="AM13" s="79">
        <f t="shared" si="0"/>
        <v>0</v>
      </c>
      <c r="AN13" s="77">
        <f t="shared" si="12"/>
        <v>0</v>
      </c>
      <c r="AO13" s="80">
        <f t="shared" si="1"/>
        <v>0</v>
      </c>
      <c r="AP13" s="242">
        <f t="shared" si="31"/>
        <v>0</v>
      </c>
      <c r="AQ13" s="240">
        <f t="shared" si="20"/>
        <v>0</v>
      </c>
      <c r="AR13" s="242">
        <f t="shared" si="13"/>
        <v>0</v>
      </c>
      <c r="AS13" s="240">
        <f t="shared" si="21"/>
        <v>0</v>
      </c>
      <c r="AT13" s="259">
        <f t="shared" si="22"/>
        <v>0</v>
      </c>
      <c r="AU13" s="78">
        <f t="shared" si="23"/>
        <v>0</v>
      </c>
      <c r="AV13" s="82">
        <f t="shared" si="24"/>
        <v>0</v>
      </c>
      <c r="AW13" s="81">
        <f t="shared" si="25"/>
        <v>0</v>
      </c>
      <c r="AY13" s="207" t="str">
        <f t="shared" si="35"/>
        <v/>
      </c>
      <c r="AZ13" s="343" t="str">
        <f>IF(BA13&gt;0,AI43&amp;" -&gt; "&amp;AK43,"")</f>
        <v/>
      </c>
      <c r="BA13" s="208">
        <f>AM43</f>
        <v>0</v>
      </c>
      <c r="BB13" s="344">
        <f>AN43</f>
        <v>0</v>
      </c>
      <c r="BC13" s="208">
        <f>AO43</f>
        <v>0</v>
      </c>
      <c r="BD13" s="345">
        <f t="shared" si="32"/>
        <v>0</v>
      </c>
      <c r="BE13" s="260">
        <f t="shared" si="33"/>
        <v>0</v>
      </c>
      <c r="BF13" s="346" t="str">
        <f>IF(BK13=0,"",IF(AND(AZ13&lt;&gt;"",AZ12&lt;&gt;""),AQ43&amp;" -&gt; "&amp;AS43,AQ41&amp;" -&gt; "&amp;AS41))</f>
        <v/>
      </c>
      <c r="BG13" s="208">
        <f>IF($BK13=0,0,IF(AND($AZ13&lt;&gt;"",$AZ12&lt;&gt;""),AU43,AU41))</f>
        <v>0</v>
      </c>
      <c r="BH13" s="344">
        <f>IF($BK13=0,0,IF(AND($AZ13&lt;&gt;"",$AZ12&lt;&gt;""),AV43,AV41))</f>
        <v>0</v>
      </c>
      <c r="BI13" s="208">
        <f>IF($BK13=0,0,IF(AND($AZ13&lt;&gt;"",$AZ12&lt;&gt;""),AW43,AW41))</f>
        <v>0</v>
      </c>
      <c r="BJ13" s="345">
        <f t="shared" si="34"/>
        <v>0</v>
      </c>
      <c r="BK13" s="209">
        <f t="shared" si="36"/>
        <v>0</v>
      </c>
    </row>
    <row r="14" spans="1:64" ht="13.5" customHeight="1" x14ac:dyDescent="0.2">
      <c r="A14" s="62" t="str">
        <f>'C-CP'!A14</f>
        <v/>
      </c>
      <c r="B14" s="62" t="str">
        <f>'C-CP'!B14</f>
        <v/>
      </c>
      <c r="C14" s="63">
        <f>'C-CP'!C14</f>
        <v>0</v>
      </c>
      <c r="D14" s="102"/>
      <c r="E14" s="4">
        <f>IF(C14=0,0,'C-CP'!E14)</f>
        <v>0</v>
      </c>
      <c r="F14" s="4">
        <f>IF(C14=0,0,'C-CP'!F14)</f>
        <v>0</v>
      </c>
      <c r="G14" s="4">
        <f>IF(C14=0,0,'C-CP'!G14)</f>
        <v>0</v>
      </c>
      <c r="H14" s="4">
        <f>IF(C14=0,0,'C-CP'!H14)</f>
        <v>0</v>
      </c>
      <c r="I14" s="17"/>
      <c r="J14" s="64">
        <f>'     3-AE     '!G16</f>
        <v>0</v>
      </c>
      <c r="K14" s="231">
        <f>IF(J14=J13,0,'C-P'!$R11)</f>
        <v>0</v>
      </c>
      <c r="L14" s="231">
        <f>IF(J14=J15,0,'C-P'!$R12)</f>
        <v>0</v>
      </c>
      <c r="M14" s="237">
        <f t="shared" si="14"/>
        <v>0</v>
      </c>
      <c r="N14" s="76">
        <f t="shared" si="26"/>
        <v>0</v>
      </c>
      <c r="O14" s="71" t="e">
        <f t="shared" si="2"/>
        <v>#DIV/0!</v>
      </c>
      <c r="P14" s="71">
        <f t="shared" si="27"/>
        <v>0</v>
      </c>
      <c r="Q14" s="103">
        <f t="shared" si="3"/>
        <v>0</v>
      </c>
      <c r="R14" s="339">
        <f t="shared" si="4"/>
        <v>0</v>
      </c>
      <c r="S14" s="340">
        <f t="shared" si="5"/>
        <v>0</v>
      </c>
      <c r="T14" s="341">
        <f t="shared" si="15"/>
        <v>0</v>
      </c>
      <c r="V14" s="64">
        <f>'     3-AE     '!J16</f>
        <v>0</v>
      </c>
      <c r="W14" s="231">
        <f>IF(V14=V13,0,'C-P'!$R11)</f>
        <v>0</v>
      </c>
      <c r="X14" s="231">
        <f>IF(V14=V15,0,'C-P'!$R12)</f>
        <v>0</v>
      </c>
      <c r="Y14" s="237">
        <f t="shared" si="28"/>
        <v>0</v>
      </c>
      <c r="Z14" s="76">
        <f t="shared" si="29"/>
        <v>0</v>
      </c>
      <c r="AA14" s="71" t="e">
        <f t="shared" si="6"/>
        <v>#DIV/0!</v>
      </c>
      <c r="AB14" s="71">
        <f t="shared" si="30"/>
        <v>0</v>
      </c>
      <c r="AC14" s="103">
        <f t="shared" si="16"/>
        <v>0</v>
      </c>
      <c r="AD14" s="339">
        <f t="shared" si="17"/>
        <v>0</v>
      </c>
      <c r="AE14" s="340">
        <f t="shared" si="7"/>
        <v>0</v>
      </c>
      <c r="AF14" s="341">
        <f t="shared" si="18"/>
        <v>0</v>
      </c>
      <c r="AH14" s="242">
        <f t="shared" si="19"/>
        <v>0</v>
      </c>
      <c r="AI14" s="239">
        <f t="shared" si="8"/>
        <v>0</v>
      </c>
      <c r="AJ14" s="242">
        <f t="shared" si="9"/>
        <v>0</v>
      </c>
      <c r="AK14" s="240">
        <f t="shared" si="10"/>
        <v>0</v>
      </c>
      <c r="AL14" s="259">
        <f t="shared" si="11"/>
        <v>0</v>
      </c>
      <c r="AM14" s="79">
        <f t="shared" si="0"/>
        <v>0</v>
      </c>
      <c r="AN14" s="77">
        <f t="shared" si="12"/>
        <v>0</v>
      </c>
      <c r="AO14" s="80">
        <f t="shared" si="1"/>
        <v>0</v>
      </c>
      <c r="AP14" s="242">
        <f t="shared" si="31"/>
        <v>0</v>
      </c>
      <c r="AQ14" s="240">
        <f t="shared" si="20"/>
        <v>0</v>
      </c>
      <c r="AR14" s="242">
        <f t="shared" si="13"/>
        <v>0</v>
      </c>
      <c r="AS14" s="240">
        <f t="shared" si="21"/>
        <v>0</v>
      </c>
      <c r="AT14" s="259">
        <f t="shared" si="22"/>
        <v>0</v>
      </c>
      <c r="AU14" s="78">
        <f t="shared" si="23"/>
        <v>0</v>
      </c>
      <c r="AV14" s="82">
        <f t="shared" si="24"/>
        <v>0</v>
      </c>
      <c r="AW14" s="81">
        <f t="shared" si="25"/>
        <v>0</v>
      </c>
      <c r="AY14" s="207" t="str">
        <f t="shared" si="35"/>
        <v/>
      </c>
      <c r="AZ14" s="343" t="str">
        <f>IF(BA14&gt;0,AI45&amp;" -&gt; "&amp;AK45,"")</f>
        <v/>
      </c>
      <c r="BA14" s="208">
        <f>AM45</f>
        <v>0</v>
      </c>
      <c r="BB14" s="344">
        <f>AN45</f>
        <v>0</v>
      </c>
      <c r="BC14" s="208">
        <f>AO45</f>
        <v>0</v>
      </c>
      <c r="BD14" s="345">
        <f t="shared" si="32"/>
        <v>0</v>
      </c>
      <c r="BE14" s="260">
        <f t="shared" si="33"/>
        <v>0</v>
      </c>
      <c r="BF14" s="346" t="str">
        <f>IF(BK14=0,"",IF(AND(AZ14&lt;&gt;"",AZ13&lt;&gt;""),AQ45&amp;" -&gt; "&amp;AS45,AQ43&amp;" -&gt; "&amp;AS43))</f>
        <v/>
      </c>
      <c r="BG14" s="208">
        <f>IF($BK14=0,0,IF(AND($AZ14&lt;&gt;"",$AZ13&lt;&gt;""),AU45,AU43))</f>
        <v>0</v>
      </c>
      <c r="BH14" s="344">
        <f>IF($BK14=0,0,IF(AND($AZ14&lt;&gt;"",$AZ13&lt;&gt;""),AV45,AV43))</f>
        <v>0</v>
      </c>
      <c r="BI14" s="208">
        <f>IF($BK14=0,0,IF(AND($AZ14&lt;&gt;"",$AZ13&lt;&gt;""),AW45,AW43))</f>
        <v>0</v>
      </c>
      <c r="BJ14" s="345">
        <f t="shared" si="34"/>
        <v>0</v>
      </c>
      <c r="BK14" s="209">
        <f t="shared" si="36"/>
        <v>0</v>
      </c>
    </row>
    <row r="15" spans="1:64" ht="13.5" customHeight="1" x14ac:dyDescent="0.2">
      <c r="A15" s="62" t="str">
        <f>'C-CP'!A15</f>
        <v/>
      </c>
      <c r="B15" s="62" t="str">
        <f>'C-CP'!B15</f>
        <v/>
      </c>
      <c r="C15" s="63">
        <f>'C-CP'!C15</f>
        <v>0</v>
      </c>
      <c r="D15" s="102"/>
      <c r="E15" s="4">
        <f>IF(C15=0,0,'C-CP'!E15)</f>
        <v>0</v>
      </c>
      <c r="F15" s="4">
        <f>IF(C15=0,0,'C-CP'!F15)</f>
        <v>0</v>
      </c>
      <c r="G15" s="4">
        <f>IF(C15=0,0,'C-CP'!G15)</f>
        <v>0</v>
      </c>
      <c r="H15" s="4">
        <f>IF(C15=0,0,'C-CP'!H15)</f>
        <v>0</v>
      </c>
      <c r="I15" s="17"/>
      <c r="J15" s="64">
        <f>'     3-AE     '!G17</f>
        <v>0</v>
      </c>
      <c r="K15" s="231">
        <f>IF(J15=J14,0,'C-P'!$R12)</f>
        <v>0</v>
      </c>
      <c r="L15" s="231">
        <f>IF(J15=J16,0,'C-P'!$R13)</f>
        <v>0</v>
      </c>
      <c r="M15" s="237">
        <f t="shared" si="14"/>
        <v>0</v>
      </c>
      <c r="N15" s="76">
        <f t="shared" si="26"/>
        <v>0</v>
      </c>
      <c r="O15" s="71" t="e">
        <f t="shared" si="2"/>
        <v>#DIV/0!</v>
      </c>
      <c r="P15" s="71">
        <f t="shared" si="27"/>
        <v>0</v>
      </c>
      <c r="Q15" s="103">
        <f t="shared" si="3"/>
        <v>0</v>
      </c>
      <c r="R15" s="339">
        <f t="shared" si="4"/>
        <v>0</v>
      </c>
      <c r="S15" s="340">
        <f t="shared" si="5"/>
        <v>0</v>
      </c>
      <c r="T15" s="341">
        <f t="shared" si="15"/>
        <v>0</v>
      </c>
      <c r="V15" s="64">
        <f>'     3-AE     '!J17</f>
        <v>0</v>
      </c>
      <c r="W15" s="231">
        <f>IF(V15=V14,0,'C-P'!$R12)</f>
        <v>0</v>
      </c>
      <c r="X15" s="231">
        <f>IF(V15=V16,0,'C-P'!$R13)</f>
        <v>0</v>
      </c>
      <c r="Y15" s="237">
        <f t="shared" si="28"/>
        <v>0</v>
      </c>
      <c r="Z15" s="76">
        <f t="shared" si="29"/>
        <v>0</v>
      </c>
      <c r="AA15" s="71" t="e">
        <f t="shared" si="6"/>
        <v>#DIV/0!</v>
      </c>
      <c r="AB15" s="71">
        <f t="shared" si="30"/>
        <v>0</v>
      </c>
      <c r="AC15" s="103">
        <f t="shared" si="16"/>
        <v>0</v>
      </c>
      <c r="AD15" s="339">
        <f t="shared" si="17"/>
        <v>0</v>
      </c>
      <c r="AE15" s="340">
        <f t="shared" si="7"/>
        <v>0</v>
      </c>
      <c r="AF15" s="341">
        <f t="shared" si="18"/>
        <v>0</v>
      </c>
      <c r="AH15" s="242">
        <f t="shared" si="19"/>
        <v>0</v>
      </c>
      <c r="AI15" s="239">
        <f t="shared" si="8"/>
        <v>0</v>
      </c>
      <c r="AJ15" s="242">
        <f t="shared" si="9"/>
        <v>0</v>
      </c>
      <c r="AK15" s="240">
        <f t="shared" si="10"/>
        <v>0</v>
      </c>
      <c r="AL15" s="259">
        <f t="shared" si="11"/>
        <v>0</v>
      </c>
      <c r="AM15" s="79">
        <f t="shared" si="0"/>
        <v>0</v>
      </c>
      <c r="AN15" s="77">
        <f t="shared" si="12"/>
        <v>0</v>
      </c>
      <c r="AO15" s="80">
        <f t="shared" si="1"/>
        <v>0</v>
      </c>
      <c r="AP15" s="242">
        <f t="shared" si="31"/>
        <v>0</v>
      </c>
      <c r="AQ15" s="240">
        <f t="shared" si="20"/>
        <v>0</v>
      </c>
      <c r="AR15" s="242">
        <f t="shared" si="13"/>
        <v>0</v>
      </c>
      <c r="AS15" s="240">
        <f t="shared" si="21"/>
        <v>0</v>
      </c>
      <c r="AT15" s="259">
        <f t="shared" si="22"/>
        <v>0</v>
      </c>
      <c r="AU15" s="78">
        <f t="shared" si="23"/>
        <v>0</v>
      </c>
      <c r="AV15" s="82">
        <f t="shared" si="24"/>
        <v>0</v>
      </c>
      <c r="AW15" s="81">
        <f t="shared" si="25"/>
        <v>0</v>
      </c>
      <c r="AY15" s="207" t="str">
        <f t="shared" si="35"/>
        <v/>
      </c>
      <c r="AZ15" s="343" t="str">
        <f>IF(BA15&gt;0,AI47&amp;" -&gt; "&amp;AK47,"")</f>
        <v/>
      </c>
      <c r="BA15" s="208">
        <f>AM47</f>
        <v>0</v>
      </c>
      <c r="BB15" s="344">
        <f>AN47</f>
        <v>0</v>
      </c>
      <c r="BC15" s="208">
        <f>AO47</f>
        <v>0</v>
      </c>
      <c r="BD15" s="345">
        <f t="shared" si="32"/>
        <v>0</v>
      </c>
      <c r="BE15" s="260">
        <f t="shared" si="33"/>
        <v>0</v>
      </c>
      <c r="BF15" s="346" t="str">
        <f>IF(BK15=0,"",IF(AND(AZ15&lt;&gt;"",AZ14),AQ47&amp;" -&gt; "&amp;AS47,AQ45&amp;" -&gt; "&amp;AS45))</f>
        <v/>
      </c>
      <c r="BG15" s="208">
        <f>IF($BK15=0,0,IF(AND($AZ15&lt;&gt;"",$AZ14&lt;&gt;""),AU47,AU45))</f>
        <v>0</v>
      </c>
      <c r="BH15" s="344">
        <f>IF($BK15=0,0,IF(AND($AZ15&lt;&gt;"",$AZ14&lt;&gt;""),AV47,AV45))</f>
        <v>0</v>
      </c>
      <c r="BI15" s="208">
        <f>IF($BK15=0,0,IF(AND($AZ15&lt;&gt;"",$AZ14&lt;&gt;""),AW47,AW45))</f>
        <v>0</v>
      </c>
      <c r="BJ15" s="345">
        <f t="shared" si="34"/>
        <v>0</v>
      </c>
      <c r="BK15" s="209">
        <f t="shared" si="36"/>
        <v>0</v>
      </c>
    </row>
    <row r="16" spans="1:64" ht="13.5" customHeight="1" x14ac:dyDescent="0.2">
      <c r="A16" s="62" t="str">
        <f>'C-CP'!A16</f>
        <v/>
      </c>
      <c r="B16" s="62" t="str">
        <f>'C-CP'!B16</f>
        <v/>
      </c>
      <c r="C16" s="63">
        <f>'C-CP'!C16</f>
        <v>0</v>
      </c>
      <c r="D16" s="102"/>
      <c r="E16" s="4">
        <f>IF(C16=0,0,'C-CP'!E16)</f>
        <v>0</v>
      </c>
      <c r="F16" s="4">
        <f>IF(C16=0,0,'C-CP'!F16)</f>
        <v>0</v>
      </c>
      <c r="G16" s="4">
        <f>IF(C16=0,0,'C-CP'!G16)</f>
        <v>0</v>
      </c>
      <c r="H16" s="4">
        <f>IF(C16=0,0,'C-CP'!H16)</f>
        <v>0</v>
      </c>
      <c r="I16" s="17"/>
      <c r="J16" s="64">
        <f>'     3-AE     '!G18</f>
        <v>0</v>
      </c>
      <c r="K16" s="231">
        <f>IF(J16=J15,0,'C-P'!$R13)</f>
        <v>0</v>
      </c>
      <c r="L16" s="231">
        <f>IF(J16=J17,0,'C-P'!$R14)</f>
        <v>0</v>
      </c>
      <c r="M16" s="237">
        <f t="shared" si="14"/>
        <v>0</v>
      </c>
      <c r="N16" s="76">
        <f t="shared" si="26"/>
        <v>0</v>
      </c>
      <c r="O16" s="71" t="e">
        <f t="shared" si="2"/>
        <v>#DIV/0!</v>
      </c>
      <c r="P16" s="71">
        <f t="shared" si="27"/>
        <v>0</v>
      </c>
      <c r="Q16" s="103">
        <f t="shared" si="3"/>
        <v>0</v>
      </c>
      <c r="R16" s="339">
        <f t="shared" si="4"/>
        <v>0</v>
      </c>
      <c r="S16" s="340">
        <f t="shared" si="5"/>
        <v>0</v>
      </c>
      <c r="T16" s="341">
        <f t="shared" si="15"/>
        <v>0</v>
      </c>
      <c r="V16" s="64">
        <f>'     3-AE     '!J18</f>
        <v>0</v>
      </c>
      <c r="W16" s="231">
        <f>IF(V16=V15,0,'C-P'!$R13)</f>
        <v>0</v>
      </c>
      <c r="X16" s="231">
        <f>IF(V16=V17,0,'C-P'!$R14)</f>
        <v>0</v>
      </c>
      <c r="Y16" s="237">
        <f t="shared" si="28"/>
        <v>0</v>
      </c>
      <c r="Z16" s="76">
        <f t="shared" si="29"/>
        <v>0</v>
      </c>
      <c r="AA16" s="71" t="e">
        <f t="shared" si="6"/>
        <v>#DIV/0!</v>
      </c>
      <c r="AB16" s="71">
        <f t="shared" si="30"/>
        <v>0</v>
      </c>
      <c r="AC16" s="103">
        <f t="shared" si="16"/>
        <v>0</v>
      </c>
      <c r="AD16" s="339">
        <f t="shared" si="17"/>
        <v>0</v>
      </c>
      <c r="AE16" s="340">
        <f t="shared" si="7"/>
        <v>0</v>
      </c>
      <c r="AF16" s="341">
        <f t="shared" si="18"/>
        <v>0</v>
      </c>
      <c r="AH16" s="242">
        <f t="shared" si="19"/>
        <v>0</v>
      </c>
      <c r="AI16" s="239">
        <f t="shared" si="8"/>
        <v>0</v>
      </c>
      <c r="AJ16" s="242">
        <f t="shared" si="9"/>
        <v>0</v>
      </c>
      <c r="AK16" s="240">
        <f t="shared" si="10"/>
        <v>0</v>
      </c>
      <c r="AL16" s="259">
        <f t="shared" si="11"/>
        <v>0</v>
      </c>
      <c r="AM16" s="79">
        <f t="shared" si="0"/>
        <v>0</v>
      </c>
      <c r="AN16" s="77">
        <f t="shared" si="12"/>
        <v>0</v>
      </c>
      <c r="AO16" s="80">
        <f t="shared" si="1"/>
        <v>0</v>
      </c>
      <c r="AP16" s="242">
        <f t="shared" si="31"/>
        <v>0</v>
      </c>
      <c r="AQ16" s="240">
        <f t="shared" si="20"/>
        <v>0</v>
      </c>
      <c r="AR16" s="242">
        <f t="shared" si="13"/>
        <v>0</v>
      </c>
      <c r="AS16" s="240">
        <f t="shared" si="21"/>
        <v>0</v>
      </c>
      <c r="AT16" s="259">
        <f t="shared" si="22"/>
        <v>0</v>
      </c>
      <c r="AU16" s="78">
        <f t="shared" si="23"/>
        <v>0</v>
      </c>
      <c r="AV16" s="82">
        <f t="shared" si="24"/>
        <v>0</v>
      </c>
      <c r="AW16" s="81">
        <f t="shared" si="25"/>
        <v>0</v>
      </c>
      <c r="AY16" s="207" t="str">
        <f t="shared" si="35"/>
        <v/>
      </c>
      <c r="AZ16" s="343" t="str">
        <f>IF(BA16&gt;0,AI49&amp;" -&gt; "&amp;AK49,"")</f>
        <v/>
      </c>
      <c r="BA16" s="208">
        <f>AM49</f>
        <v>0</v>
      </c>
      <c r="BB16" s="344">
        <f>AN49</f>
        <v>0</v>
      </c>
      <c r="BC16" s="208">
        <f>AO49</f>
        <v>0</v>
      </c>
      <c r="BD16" s="345">
        <f t="shared" si="32"/>
        <v>0</v>
      </c>
      <c r="BE16" s="260">
        <f t="shared" si="33"/>
        <v>0</v>
      </c>
      <c r="BF16" s="346" t="str">
        <f>IF(BK16=0,"",IF(AND(AZ16&lt;&gt;"",AZ15&lt;&gt;""),AQ49&amp;" -&gt; "&amp;AS49,AQ47&amp;" -&gt; "&amp;AS47))</f>
        <v/>
      </c>
      <c r="BG16" s="208">
        <f>IF($BK16=0,0,IF(AND($AZ16&lt;&gt;"",$AZ15&lt;&gt;""),AU49,AU47))</f>
        <v>0</v>
      </c>
      <c r="BH16" s="344">
        <f>IF($BK16=0,0,IF(AND($AZ16&lt;&gt;"",$AZ15&lt;&gt;""),AV49,AV47))</f>
        <v>0</v>
      </c>
      <c r="BI16" s="208">
        <f>IF($BK16=0,0,IF(AND($AZ16&lt;&gt;"",$AZ15&lt;&gt;""),AW49,AW47))</f>
        <v>0</v>
      </c>
      <c r="BJ16" s="345">
        <f t="shared" si="34"/>
        <v>0</v>
      </c>
      <c r="BK16" s="209">
        <f t="shared" si="36"/>
        <v>0</v>
      </c>
    </row>
    <row r="17" spans="1:63" ht="13.5" customHeight="1" x14ac:dyDescent="0.2">
      <c r="A17" s="62" t="str">
        <f>'C-CP'!A17</f>
        <v/>
      </c>
      <c r="B17" s="62" t="str">
        <f>'C-CP'!B17</f>
        <v/>
      </c>
      <c r="C17" s="63">
        <f>'C-CP'!C17</f>
        <v>0</v>
      </c>
      <c r="D17" s="102"/>
      <c r="E17" s="4">
        <f>IF(C17=0,0,'C-CP'!E17)</f>
        <v>0</v>
      </c>
      <c r="F17" s="4">
        <f>IF(C17=0,0,'C-CP'!F17)</f>
        <v>0</v>
      </c>
      <c r="G17" s="4">
        <f>IF(C17=0,0,'C-CP'!G17)</f>
        <v>0</v>
      </c>
      <c r="H17" s="4">
        <f>IF(C17=0,0,'C-CP'!H17)</f>
        <v>0</v>
      </c>
      <c r="I17" s="17"/>
      <c r="J17" s="64">
        <f>'     3-AE     '!G19</f>
        <v>0</v>
      </c>
      <c r="K17" s="231">
        <f>IF(J17=J16,0,'C-P'!$R14)</f>
        <v>0</v>
      </c>
      <c r="L17" s="231">
        <f>IF(J17=J18,0,'C-P'!$R15)</f>
        <v>0</v>
      </c>
      <c r="M17" s="237">
        <f t="shared" si="14"/>
        <v>0</v>
      </c>
      <c r="N17" s="76">
        <f t="shared" si="26"/>
        <v>0</v>
      </c>
      <c r="O17" s="71" t="e">
        <f t="shared" si="2"/>
        <v>#DIV/0!</v>
      </c>
      <c r="P17" s="71">
        <f t="shared" si="27"/>
        <v>0</v>
      </c>
      <c r="Q17" s="103">
        <f t="shared" si="3"/>
        <v>0</v>
      </c>
      <c r="R17" s="339">
        <f t="shared" si="4"/>
        <v>0</v>
      </c>
      <c r="S17" s="340">
        <f t="shared" si="5"/>
        <v>0</v>
      </c>
      <c r="T17" s="341">
        <f t="shared" si="15"/>
        <v>0</v>
      </c>
      <c r="V17" s="64">
        <f>'     3-AE     '!J19</f>
        <v>0</v>
      </c>
      <c r="W17" s="231">
        <f>IF(V17=V16,0,'C-P'!$R14)</f>
        <v>0</v>
      </c>
      <c r="X17" s="231">
        <f>IF(V17=V18,0,'C-P'!$R15)</f>
        <v>0</v>
      </c>
      <c r="Y17" s="237">
        <f t="shared" si="28"/>
        <v>0</v>
      </c>
      <c r="Z17" s="76">
        <f t="shared" si="29"/>
        <v>0</v>
      </c>
      <c r="AA17" s="71" t="e">
        <f t="shared" si="6"/>
        <v>#DIV/0!</v>
      </c>
      <c r="AB17" s="71">
        <f t="shared" si="30"/>
        <v>0</v>
      </c>
      <c r="AC17" s="103">
        <f t="shared" si="16"/>
        <v>0</v>
      </c>
      <c r="AD17" s="339">
        <f t="shared" si="17"/>
        <v>0</v>
      </c>
      <c r="AE17" s="340">
        <f t="shared" si="7"/>
        <v>0</v>
      </c>
      <c r="AF17" s="341">
        <f t="shared" si="18"/>
        <v>0</v>
      </c>
      <c r="AH17" s="242">
        <f t="shared" si="19"/>
        <v>0</v>
      </c>
      <c r="AI17" s="239">
        <f t="shared" si="8"/>
        <v>0</v>
      </c>
      <c r="AJ17" s="242">
        <f t="shared" si="9"/>
        <v>0</v>
      </c>
      <c r="AK17" s="240">
        <f t="shared" si="10"/>
        <v>0</v>
      </c>
      <c r="AL17" s="259">
        <f t="shared" si="11"/>
        <v>0</v>
      </c>
      <c r="AM17" s="79">
        <f t="shared" si="0"/>
        <v>0</v>
      </c>
      <c r="AN17" s="77">
        <f t="shared" si="12"/>
        <v>0</v>
      </c>
      <c r="AO17" s="80">
        <f t="shared" si="1"/>
        <v>0</v>
      </c>
      <c r="AP17" s="242">
        <f t="shared" si="31"/>
        <v>0</v>
      </c>
      <c r="AQ17" s="240">
        <f t="shared" si="20"/>
        <v>0</v>
      </c>
      <c r="AR17" s="242">
        <f t="shared" si="13"/>
        <v>0</v>
      </c>
      <c r="AS17" s="240">
        <f t="shared" si="21"/>
        <v>0</v>
      </c>
      <c r="AT17" s="259">
        <f t="shared" si="22"/>
        <v>0</v>
      </c>
      <c r="AU17" s="78">
        <f t="shared" si="23"/>
        <v>0</v>
      </c>
      <c r="AV17" s="82">
        <f t="shared" si="24"/>
        <v>0</v>
      </c>
      <c r="AW17" s="81">
        <f t="shared" si="25"/>
        <v>0</v>
      </c>
      <c r="AY17" s="207" t="str">
        <f t="shared" si="35"/>
        <v/>
      </c>
      <c r="AZ17" s="343" t="str">
        <f>IF(BA17&gt;0,AI51&amp;" -&gt; "&amp;AK51,"")</f>
        <v/>
      </c>
      <c r="BA17" s="208">
        <f>AM51</f>
        <v>0</v>
      </c>
      <c r="BB17" s="344">
        <f>AN51</f>
        <v>0</v>
      </c>
      <c r="BC17" s="208">
        <f>AO51</f>
        <v>0</v>
      </c>
      <c r="BD17" s="345">
        <f t="shared" si="32"/>
        <v>0</v>
      </c>
      <c r="BE17" s="260">
        <f>COUNTIF($J$6:$J$31,$AY17)</f>
        <v>0</v>
      </c>
      <c r="BF17" s="346" t="str">
        <f>IF(BK17=0,"",IF(AND(AZ17&lt;&gt;"",AZ16&lt;&gt;""),AQ51&amp;" -&gt; "&amp;AS51,AQ49&amp;" -&gt; "&amp;AS49))</f>
        <v/>
      </c>
      <c r="BG17" s="208">
        <f>IF($BK17=0,0,IF(AND($AZ17&lt;&gt;"",$AZ16&lt;&gt;""),AU51,AU49))</f>
        <v>0</v>
      </c>
      <c r="BH17" s="344">
        <f>IF($BK17=0,0,IF(AND($AZ17&lt;&gt;"",$AZ16&lt;&gt;""),AV51,AV49))</f>
        <v>0</v>
      </c>
      <c r="BI17" s="208">
        <f>IF($BK17=0,0,IF(AND($AZ17&lt;&gt;"",$AZ16&lt;&gt;""),AW51,AW49))</f>
        <v>0</v>
      </c>
      <c r="BJ17" s="345">
        <f t="shared" si="34"/>
        <v>0</v>
      </c>
      <c r="BK17" s="209">
        <f t="shared" si="36"/>
        <v>0</v>
      </c>
    </row>
    <row r="18" spans="1:63" ht="13.5" customHeight="1" x14ac:dyDescent="0.2">
      <c r="A18" s="62" t="str">
        <f>'C-CP'!A18</f>
        <v/>
      </c>
      <c r="B18" s="62" t="str">
        <f>'C-CP'!B18</f>
        <v/>
      </c>
      <c r="C18" s="63">
        <f>'C-CP'!C18</f>
        <v>0</v>
      </c>
      <c r="D18" s="102"/>
      <c r="E18" s="4">
        <f>IF(C18=0,0,'C-CP'!E18)</f>
        <v>0</v>
      </c>
      <c r="F18" s="4">
        <f>IF(C18=0,0,'C-CP'!F18)</f>
        <v>0</v>
      </c>
      <c r="G18" s="4">
        <f>IF(C18=0,0,'C-CP'!G18)</f>
        <v>0</v>
      </c>
      <c r="H18" s="4">
        <f>IF(C18=0,0,'C-CP'!H18)</f>
        <v>0</v>
      </c>
      <c r="I18" s="17"/>
      <c r="J18" s="64">
        <f>'     3-AE     '!G20</f>
        <v>0</v>
      </c>
      <c r="K18" s="231">
        <f>IF(J18=J17,0,'C-P'!$R15)</f>
        <v>0</v>
      </c>
      <c r="L18" s="231">
        <f>IF(J18=J19,0,'C-P'!$R16)</f>
        <v>0</v>
      </c>
      <c r="M18" s="237">
        <f t="shared" si="14"/>
        <v>0</v>
      </c>
      <c r="N18" s="76">
        <f t="shared" si="26"/>
        <v>0</v>
      </c>
      <c r="O18" s="71" t="e">
        <f t="shared" si="2"/>
        <v>#DIV/0!</v>
      </c>
      <c r="P18" s="71">
        <f t="shared" si="27"/>
        <v>0</v>
      </c>
      <c r="Q18" s="103">
        <f t="shared" si="3"/>
        <v>0</v>
      </c>
      <c r="R18" s="339">
        <f t="shared" si="4"/>
        <v>0</v>
      </c>
      <c r="S18" s="340">
        <f t="shared" si="5"/>
        <v>0</v>
      </c>
      <c r="T18" s="341">
        <f t="shared" si="15"/>
        <v>0</v>
      </c>
      <c r="V18" s="64">
        <f>'     3-AE     '!J20</f>
        <v>0</v>
      </c>
      <c r="W18" s="231">
        <f>IF(V18=V17,0,'C-P'!$R15)</f>
        <v>0</v>
      </c>
      <c r="X18" s="231">
        <f>IF(V18=V19,0,'C-P'!$R16)</f>
        <v>0</v>
      </c>
      <c r="Y18" s="237">
        <f t="shared" si="28"/>
        <v>0</v>
      </c>
      <c r="Z18" s="76">
        <f t="shared" si="29"/>
        <v>0</v>
      </c>
      <c r="AA18" s="71" t="e">
        <f t="shared" si="6"/>
        <v>#DIV/0!</v>
      </c>
      <c r="AB18" s="71">
        <f t="shared" si="30"/>
        <v>0</v>
      </c>
      <c r="AC18" s="103">
        <f t="shared" si="16"/>
        <v>0</v>
      </c>
      <c r="AD18" s="339">
        <f t="shared" si="17"/>
        <v>0</v>
      </c>
      <c r="AE18" s="340">
        <f t="shared" si="7"/>
        <v>0</v>
      </c>
      <c r="AF18" s="341">
        <f t="shared" si="18"/>
        <v>0</v>
      </c>
      <c r="AH18" s="242">
        <f t="shared" si="19"/>
        <v>0</v>
      </c>
      <c r="AI18" s="239">
        <f t="shared" si="8"/>
        <v>0</v>
      </c>
      <c r="AJ18" s="242">
        <f t="shared" si="9"/>
        <v>0</v>
      </c>
      <c r="AK18" s="240">
        <f t="shared" si="10"/>
        <v>0</v>
      </c>
      <c r="AL18" s="259">
        <f t="shared" si="11"/>
        <v>0</v>
      </c>
      <c r="AM18" s="79">
        <f t="shared" si="0"/>
        <v>0</v>
      </c>
      <c r="AN18" s="77">
        <f t="shared" si="12"/>
        <v>0</v>
      </c>
      <c r="AO18" s="80">
        <f t="shared" si="1"/>
        <v>0</v>
      </c>
      <c r="AP18" s="242">
        <f t="shared" si="31"/>
        <v>0</v>
      </c>
      <c r="AQ18" s="240">
        <f t="shared" si="20"/>
        <v>0</v>
      </c>
      <c r="AR18" s="242">
        <f t="shared" si="13"/>
        <v>0</v>
      </c>
      <c r="AS18" s="240">
        <f t="shared" si="21"/>
        <v>0</v>
      </c>
      <c r="AT18" s="259">
        <f t="shared" si="22"/>
        <v>0</v>
      </c>
      <c r="AU18" s="78">
        <f t="shared" si="23"/>
        <v>0</v>
      </c>
      <c r="AV18" s="82">
        <f t="shared" si="24"/>
        <v>0</v>
      </c>
      <c r="AW18" s="81">
        <f t="shared" si="25"/>
        <v>0</v>
      </c>
      <c r="AY18" s="207" t="str">
        <f t="shared" si="35"/>
        <v/>
      </c>
      <c r="AZ18" s="343" t="str">
        <f>IF(BA18&gt;0,AI53&amp;" -&gt; "&amp;AK53,"")</f>
        <v/>
      </c>
      <c r="BA18" s="208">
        <f>AM53</f>
        <v>0</v>
      </c>
      <c r="BB18" s="344">
        <f>AN53</f>
        <v>0</v>
      </c>
      <c r="BC18" s="208">
        <f>AO53</f>
        <v>0</v>
      </c>
      <c r="BD18" s="345">
        <f t="shared" si="32"/>
        <v>0</v>
      </c>
      <c r="BE18" s="260">
        <f>COUNTIF($J$6:$J$30,$AY18)</f>
        <v>0</v>
      </c>
      <c r="BF18" s="346" t="str">
        <f>IF(BK18=0,"",IF(AND(AZ18&lt;&gt;"",AZ17),AQ53&amp;" -&gt; "&amp;AS53,AQ51&amp;" -&gt; "&amp;AS51))</f>
        <v/>
      </c>
      <c r="BG18" s="208">
        <f>IF($BK18=0,0,IF(AND($AZ18&lt;&gt;"",$AZ17&lt;&gt;""),AU53,AU51))</f>
        <v>0</v>
      </c>
      <c r="BH18" s="344">
        <f>IF($BK18=0,0,IF(AND($AZ18&lt;&gt;"",$AZ17&lt;&gt;""),AV53,AV51))</f>
        <v>0</v>
      </c>
      <c r="BI18" s="208">
        <f>IF($BK18=0,0,IF(AND($AZ18&lt;&gt;"",$AZ17&lt;&gt;""),AW53,AW51))</f>
        <v>0</v>
      </c>
      <c r="BJ18" s="345">
        <f t="shared" si="34"/>
        <v>0</v>
      </c>
      <c r="BK18" s="209">
        <f t="shared" si="36"/>
        <v>0</v>
      </c>
    </row>
    <row r="19" spans="1:63" ht="13.5" customHeight="1" x14ac:dyDescent="0.2">
      <c r="A19" s="62" t="str">
        <f>'C-CP'!A19</f>
        <v/>
      </c>
      <c r="B19" s="62" t="str">
        <f>'C-CP'!B19</f>
        <v/>
      </c>
      <c r="C19" s="63">
        <f>'C-CP'!C19</f>
        <v>0</v>
      </c>
      <c r="D19" s="102"/>
      <c r="E19" s="4">
        <f>IF(C19=0,0,'C-CP'!E19)</f>
        <v>0</v>
      </c>
      <c r="F19" s="4">
        <f>IF(C19=0,0,'C-CP'!F19)</f>
        <v>0</v>
      </c>
      <c r="G19" s="4">
        <f>IF(C19=0,0,'C-CP'!G19)</f>
        <v>0</v>
      </c>
      <c r="H19" s="4">
        <f>IF(C19=0,0,'C-CP'!H19)</f>
        <v>0</v>
      </c>
      <c r="I19" s="17"/>
      <c r="J19" s="64">
        <f>'     3-AE     '!G21</f>
        <v>0</v>
      </c>
      <c r="K19" s="231">
        <f>IF(J19=J18,0,'C-P'!$R16)</f>
        <v>0</v>
      </c>
      <c r="L19" s="231">
        <f>IF(J19=J20,0,'C-P'!$R17)</f>
        <v>0</v>
      </c>
      <c r="M19" s="237">
        <f t="shared" si="14"/>
        <v>0</v>
      </c>
      <c r="N19" s="76">
        <f t="shared" si="26"/>
        <v>0</v>
      </c>
      <c r="O19" s="71" t="e">
        <f t="shared" si="2"/>
        <v>#DIV/0!</v>
      </c>
      <c r="P19" s="71">
        <f t="shared" si="27"/>
        <v>0</v>
      </c>
      <c r="Q19" s="103">
        <f t="shared" si="3"/>
        <v>0</v>
      </c>
      <c r="R19" s="339">
        <f t="shared" si="4"/>
        <v>0</v>
      </c>
      <c r="S19" s="340">
        <f t="shared" si="5"/>
        <v>0</v>
      </c>
      <c r="T19" s="341">
        <f t="shared" si="15"/>
        <v>0</v>
      </c>
      <c r="V19" s="64">
        <f>'     3-AE     '!J21</f>
        <v>0</v>
      </c>
      <c r="W19" s="231">
        <f>IF(V19=V18,0,'C-P'!$R16)</f>
        <v>0</v>
      </c>
      <c r="X19" s="231">
        <f>IF(V19=V20,0,'C-P'!$R17)</f>
        <v>0</v>
      </c>
      <c r="Y19" s="237">
        <f t="shared" si="28"/>
        <v>0</v>
      </c>
      <c r="Z19" s="76">
        <f t="shared" si="29"/>
        <v>0</v>
      </c>
      <c r="AA19" s="71" t="e">
        <f t="shared" si="6"/>
        <v>#DIV/0!</v>
      </c>
      <c r="AB19" s="71">
        <f t="shared" si="30"/>
        <v>0</v>
      </c>
      <c r="AC19" s="103">
        <f t="shared" si="16"/>
        <v>0</v>
      </c>
      <c r="AD19" s="339">
        <f t="shared" si="17"/>
        <v>0</v>
      </c>
      <c r="AE19" s="340">
        <f t="shared" si="7"/>
        <v>0</v>
      </c>
      <c r="AF19" s="341">
        <f t="shared" si="18"/>
        <v>0</v>
      </c>
      <c r="AH19" s="242">
        <f t="shared" si="19"/>
        <v>0</v>
      </c>
      <c r="AI19" s="239">
        <f t="shared" si="8"/>
        <v>0</v>
      </c>
      <c r="AJ19" s="242">
        <f t="shared" si="9"/>
        <v>0</v>
      </c>
      <c r="AK19" s="240">
        <f t="shared" si="10"/>
        <v>0</v>
      </c>
      <c r="AL19" s="259">
        <f t="shared" si="11"/>
        <v>0</v>
      </c>
      <c r="AM19" s="79">
        <f t="shared" si="0"/>
        <v>0</v>
      </c>
      <c r="AN19" s="77">
        <f t="shared" si="12"/>
        <v>0</v>
      </c>
      <c r="AO19" s="80">
        <f t="shared" si="1"/>
        <v>0</v>
      </c>
      <c r="AP19" s="242">
        <f t="shared" si="31"/>
        <v>0</v>
      </c>
      <c r="AQ19" s="240">
        <f t="shared" si="20"/>
        <v>0</v>
      </c>
      <c r="AR19" s="242">
        <f t="shared" si="13"/>
        <v>0</v>
      </c>
      <c r="AS19" s="240">
        <f t="shared" si="21"/>
        <v>0</v>
      </c>
      <c r="AT19" s="259">
        <f t="shared" si="22"/>
        <v>0</v>
      </c>
      <c r="AU19" s="78">
        <f t="shared" si="23"/>
        <v>0</v>
      </c>
      <c r="AV19" s="82">
        <f t="shared" si="24"/>
        <v>0</v>
      </c>
      <c r="AW19" s="81">
        <f t="shared" si="25"/>
        <v>0</v>
      </c>
      <c r="AY19" s="207" t="str">
        <f t="shared" si="35"/>
        <v/>
      </c>
      <c r="AZ19" s="343" t="str">
        <f>IF(BA19&gt;0,AI55&amp;" -&gt; "&amp;AK55,"")</f>
        <v/>
      </c>
      <c r="BA19" s="208">
        <f>AM55</f>
        <v>0</v>
      </c>
      <c r="BB19" s="344">
        <f>AN55</f>
        <v>0</v>
      </c>
      <c r="BC19" s="208">
        <f>AO55</f>
        <v>0</v>
      </c>
      <c r="BD19" s="345">
        <f t="shared" si="32"/>
        <v>0</v>
      </c>
      <c r="BE19" s="260">
        <f>COUNTIF($J$6:$J$30,$AY19)</f>
        <v>0</v>
      </c>
      <c r="BF19" s="346" t="str">
        <f>IF(BK19=0,"",IF(AND(AZ19&lt;&gt;"",AZ18&lt;&gt;""),AQ55&amp;" -&gt; "&amp;AS55,AQ53&amp;" -&gt; "&amp;AS53))</f>
        <v/>
      </c>
      <c r="BG19" s="208">
        <f>IF($BK19=0,0,IF(AND($AZ19&lt;&gt;"",$AZ18&lt;&gt;""),AU55,AU53))</f>
        <v>0</v>
      </c>
      <c r="BH19" s="344">
        <f>IF($BK19=0,0,IF(AND($AZ19&lt;&gt;"",$AZ18&lt;&gt;""),AV55,AV53))</f>
        <v>0</v>
      </c>
      <c r="BI19" s="208">
        <f>IF($BK19=0,0,IF(AND($AZ19&lt;&gt;"",$AZ18&lt;&gt;""),AW55,AW53))</f>
        <v>0</v>
      </c>
      <c r="BJ19" s="345">
        <f t="shared" si="34"/>
        <v>0</v>
      </c>
      <c r="BK19" s="209">
        <f t="shared" si="36"/>
        <v>0</v>
      </c>
    </row>
    <row r="20" spans="1:63" ht="13.5" customHeight="1" x14ac:dyDescent="0.2">
      <c r="A20" s="62" t="str">
        <f>'C-CP'!A20</f>
        <v/>
      </c>
      <c r="B20" s="62" t="str">
        <f>'C-CP'!B20</f>
        <v/>
      </c>
      <c r="C20" s="63">
        <f>'C-CP'!C20</f>
        <v>0</v>
      </c>
      <c r="D20" s="102"/>
      <c r="E20" s="4">
        <f>IF(C20=0,0,'C-CP'!E20)</f>
        <v>0</v>
      </c>
      <c r="F20" s="4">
        <f>IF(C20=0,0,'C-CP'!F20)</f>
        <v>0</v>
      </c>
      <c r="G20" s="4">
        <f>IF(C20=0,0,'C-CP'!G20)</f>
        <v>0</v>
      </c>
      <c r="H20" s="4">
        <f>IF(C20=0,0,'C-CP'!H20)</f>
        <v>0</v>
      </c>
      <c r="I20" s="17"/>
      <c r="J20" s="64">
        <f>'     3-AE     '!G22</f>
        <v>0</v>
      </c>
      <c r="K20" s="231">
        <f>IF(J20=J19,0,'C-P'!$R17)</f>
        <v>0</v>
      </c>
      <c r="L20" s="231">
        <f>IF(J20=J21,0,'C-P'!$R18)</f>
        <v>0</v>
      </c>
      <c r="M20" s="237">
        <f t="shared" si="14"/>
        <v>0</v>
      </c>
      <c r="N20" s="76">
        <f t="shared" si="26"/>
        <v>0</v>
      </c>
      <c r="O20" s="71" t="e">
        <f t="shared" si="2"/>
        <v>#DIV/0!</v>
      </c>
      <c r="P20" s="71">
        <f t="shared" si="27"/>
        <v>0</v>
      </c>
      <c r="Q20" s="103">
        <f t="shared" si="3"/>
        <v>0</v>
      </c>
      <c r="R20" s="339">
        <f t="shared" si="4"/>
        <v>0</v>
      </c>
      <c r="S20" s="340">
        <f t="shared" si="5"/>
        <v>0</v>
      </c>
      <c r="T20" s="341">
        <f t="shared" si="15"/>
        <v>0</v>
      </c>
      <c r="V20" s="64">
        <f>'     3-AE     '!J22</f>
        <v>0</v>
      </c>
      <c r="W20" s="231">
        <f>IF(V20=V19,0,'C-P'!$R17)</f>
        <v>0</v>
      </c>
      <c r="X20" s="231">
        <f>IF(V20=V21,0,'C-P'!$R18)</f>
        <v>0</v>
      </c>
      <c r="Y20" s="237">
        <f t="shared" si="28"/>
        <v>0</v>
      </c>
      <c r="Z20" s="76">
        <f t="shared" si="29"/>
        <v>0</v>
      </c>
      <c r="AA20" s="71" t="e">
        <f t="shared" si="6"/>
        <v>#DIV/0!</v>
      </c>
      <c r="AB20" s="71">
        <f t="shared" si="30"/>
        <v>0</v>
      </c>
      <c r="AC20" s="103">
        <f t="shared" si="16"/>
        <v>0</v>
      </c>
      <c r="AD20" s="339">
        <f t="shared" si="17"/>
        <v>0</v>
      </c>
      <c r="AE20" s="340">
        <f t="shared" si="7"/>
        <v>0</v>
      </c>
      <c r="AF20" s="341">
        <f t="shared" si="18"/>
        <v>0</v>
      </c>
      <c r="AH20" s="242">
        <f t="shared" si="19"/>
        <v>0</v>
      </c>
      <c r="AI20" s="239">
        <f t="shared" si="8"/>
        <v>0</v>
      </c>
      <c r="AJ20" s="242">
        <f t="shared" si="9"/>
        <v>0</v>
      </c>
      <c r="AK20" s="240">
        <f t="shared" si="10"/>
        <v>0</v>
      </c>
      <c r="AL20" s="259">
        <f t="shared" si="11"/>
        <v>0</v>
      </c>
      <c r="AM20" s="79">
        <f t="shared" si="0"/>
        <v>0</v>
      </c>
      <c r="AN20" s="77">
        <f t="shared" si="12"/>
        <v>0</v>
      </c>
      <c r="AO20" s="80">
        <f t="shared" si="1"/>
        <v>0</v>
      </c>
      <c r="AP20" s="242">
        <f t="shared" si="31"/>
        <v>0</v>
      </c>
      <c r="AQ20" s="240">
        <f t="shared" si="20"/>
        <v>0</v>
      </c>
      <c r="AR20" s="242">
        <f t="shared" si="13"/>
        <v>0</v>
      </c>
      <c r="AS20" s="240">
        <f t="shared" si="21"/>
        <v>0</v>
      </c>
      <c r="AT20" s="259">
        <f t="shared" si="22"/>
        <v>0</v>
      </c>
      <c r="AU20" s="78">
        <f t="shared" si="23"/>
        <v>0</v>
      </c>
      <c r="AV20" s="82">
        <f t="shared" si="24"/>
        <v>0</v>
      </c>
      <c r="AW20" s="81">
        <f t="shared" si="25"/>
        <v>0</v>
      </c>
      <c r="AY20" s="207" t="str">
        <f t="shared" si="35"/>
        <v/>
      </c>
      <c r="AZ20" s="343" t="str">
        <f>IF(BA20&gt;0,AI56&amp;" -&gt; "&amp;AK56,"")</f>
        <v/>
      </c>
      <c r="BA20" s="208"/>
      <c r="BB20" s="344"/>
      <c r="BC20" s="208"/>
      <c r="BD20" s="345"/>
      <c r="BE20" s="260"/>
      <c r="BF20" s="346" t="str">
        <f>IF(BK20=0,"",IF(AND(AZ20&lt;&gt;"",AZ19&lt;&gt;""),"",AQ55&amp;" -&gt; "&amp;AS55))</f>
        <v/>
      </c>
      <c r="BG20" s="208">
        <f>IF($BK20=0,0,IF(AND($AZ20&lt;&gt;"",$AZ19&lt;&gt;""),0,AU55))</f>
        <v>0</v>
      </c>
      <c r="BH20" s="344">
        <f>IF($BK20=0,0,IF(AND($AZ20&lt;&gt;"",$AZ19&lt;&gt;""),0,AV55))</f>
        <v>0</v>
      </c>
      <c r="BI20" s="208">
        <f>IF($BK20=0,0,IF(AND($AZ20&lt;&gt;"",$AZ19&lt;&gt;""),0,AW55))</f>
        <v>0</v>
      </c>
      <c r="BJ20" s="345">
        <f t="shared" si="34"/>
        <v>0</v>
      </c>
      <c r="BK20" s="209">
        <f t="shared" si="36"/>
        <v>0</v>
      </c>
    </row>
    <row r="21" spans="1:63" ht="13.5" customHeight="1" x14ac:dyDescent="0.2">
      <c r="A21" s="62" t="str">
        <f>'C-CP'!A21</f>
        <v/>
      </c>
      <c r="B21" s="62" t="str">
        <f>'C-CP'!B21</f>
        <v/>
      </c>
      <c r="C21" s="63">
        <f>'C-CP'!C21</f>
        <v>0</v>
      </c>
      <c r="D21" s="102"/>
      <c r="E21" s="4">
        <f>IF(C21=0,0,'C-CP'!E21)</f>
        <v>0</v>
      </c>
      <c r="F21" s="4">
        <f>IF(C21=0,0,'C-CP'!F21)</f>
        <v>0</v>
      </c>
      <c r="G21" s="4">
        <f>IF(C21=0,0,'C-CP'!G21)</f>
        <v>0</v>
      </c>
      <c r="H21" s="4">
        <f>IF(C21=0,0,'C-CP'!H21)</f>
        <v>0</v>
      </c>
      <c r="I21" s="17"/>
      <c r="J21" s="64">
        <f>'     3-AE     '!G23</f>
        <v>0</v>
      </c>
      <c r="K21" s="231">
        <f>IF(J21=J20,0,'C-P'!$R18)</f>
        <v>0</v>
      </c>
      <c r="L21" s="231">
        <f>IF(J21=J22,0,'C-P'!$R19)</f>
        <v>0</v>
      </c>
      <c r="M21" s="237">
        <f t="shared" si="14"/>
        <v>0</v>
      </c>
      <c r="N21" s="76">
        <f t="shared" si="26"/>
        <v>0</v>
      </c>
      <c r="O21" s="71" t="e">
        <f t="shared" si="2"/>
        <v>#DIV/0!</v>
      </c>
      <c r="P21" s="71">
        <f t="shared" si="27"/>
        <v>0</v>
      </c>
      <c r="Q21" s="103">
        <f t="shared" si="3"/>
        <v>0</v>
      </c>
      <c r="R21" s="339">
        <f t="shared" si="4"/>
        <v>0</v>
      </c>
      <c r="S21" s="340">
        <f t="shared" si="5"/>
        <v>0</v>
      </c>
      <c r="T21" s="341">
        <f t="shared" si="15"/>
        <v>0</v>
      </c>
      <c r="V21" s="64">
        <f>'     3-AE     '!J23</f>
        <v>0</v>
      </c>
      <c r="W21" s="231">
        <f>IF(V21=V20,0,'C-P'!$R18)</f>
        <v>0</v>
      </c>
      <c r="X21" s="231">
        <f>IF(V21=V22,0,'C-P'!$R19)</f>
        <v>0</v>
      </c>
      <c r="Y21" s="237">
        <f t="shared" si="28"/>
        <v>0</v>
      </c>
      <c r="Z21" s="76">
        <f t="shared" si="29"/>
        <v>0</v>
      </c>
      <c r="AA21" s="71" t="e">
        <f t="shared" si="6"/>
        <v>#DIV/0!</v>
      </c>
      <c r="AB21" s="71">
        <f t="shared" si="30"/>
        <v>0</v>
      </c>
      <c r="AC21" s="103">
        <f t="shared" si="16"/>
        <v>0</v>
      </c>
      <c r="AD21" s="339">
        <f t="shared" si="17"/>
        <v>0</v>
      </c>
      <c r="AE21" s="340">
        <f t="shared" si="7"/>
        <v>0</v>
      </c>
      <c r="AF21" s="341">
        <f t="shared" si="18"/>
        <v>0</v>
      </c>
      <c r="AH21" s="242">
        <f t="shared" si="19"/>
        <v>0</v>
      </c>
      <c r="AI21" s="239">
        <f t="shared" si="8"/>
        <v>0</v>
      </c>
      <c r="AJ21" s="242">
        <f t="shared" si="9"/>
        <v>0</v>
      </c>
      <c r="AK21" s="240">
        <f t="shared" si="10"/>
        <v>0</v>
      </c>
      <c r="AL21" s="259">
        <f t="shared" si="11"/>
        <v>0</v>
      </c>
      <c r="AM21" s="79">
        <f t="shared" si="0"/>
        <v>0</v>
      </c>
      <c r="AN21" s="77">
        <f t="shared" si="12"/>
        <v>0</v>
      </c>
      <c r="AO21" s="80">
        <f t="shared" si="1"/>
        <v>0</v>
      </c>
      <c r="AP21" s="242">
        <f t="shared" si="31"/>
        <v>0</v>
      </c>
      <c r="AQ21" s="240">
        <f t="shared" si="20"/>
        <v>0</v>
      </c>
      <c r="AR21" s="242">
        <f t="shared" si="13"/>
        <v>0</v>
      </c>
      <c r="AS21" s="240">
        <f t="shared" si="21"/>
        <v>0</v>
      </c>
      <c r="AT21" s="259">
        <f t="shared" si="22"/>
        <v>0</v>
      </c>
      <c r="AU21" s="78">
        <f t="shared" si="23"/>
        <v>0</v>
      </c>
      <c r="AV21" s="82">
        <f t="shared" si="24"/>
        <v>0</v>
      </c>
      <c r="AW21" s="81">
        <f t="shared" si="25"/>
        <v>0</v>
      </c>
      <c r="BA21" s="210"/>
      <c r="BB21" s="210"/>
      <c r="BF21" s="9"/>
      <c r="BG21" s="9"/>
    </row>
    <row r="22" spans="1:63" ht="13.5" customHeight="1" x14ac:dyDescent="0.2">
      <c r="A22" s="62" t="str">
        <f>'C-CP'!A22</f>
        <v/>
      </c>
      <c r="B22" s="62" t="str">
        <f>'C-CP'!B22</f>
        <v/>
      </c>
      <c r="C22" s="63">
        <f>'C-CP'!C22</f>
        <v>0</v>
      </c>
      <c r="D22" s="102"/>
      <c r="E22" s="4">
        <f>IF(C22=0,0,'C-CP'!E22)</f>
        <v>0</v>
      </c>
      <c r="F22" s="4">
        <f>IF(C22=0,0,'C-CP'!F22)</f>
        <v>0</v>
      </c>
      <c r="G22" s="4">
        <f>IF(C22=0,0,'C-CP'!G22)</f>
        <v>0</v>
      </c>
      <c r="H22" s="4">
        <f>IF(C22=0,0,'C-CP'!H22)</f>
        <v>0</v>
      </c>
      <c r="I22" s="17"/>
      <c r="J22" s="64">
        <f>'     3-AE     '!G24</f>
        <v>0</v>
      </c>
      <c r="K22" s="231">
        <f>IF(J22=J21,0,'C-P'!$R19)</f>
        <v>0</v>
      </c>
      <c r="L22" s="231">
        <f>IF(J22=J23,0,'C-P'!$R20)</f>
        <v>0</v>
      </c>
      <c r="M22" s="237">
        <f t="shared" si="14"/>
        <v>0</v>
      </c>
      <c r="N22" s="76">
        <f t="shared" si="26"/>
        <v>0</v>
      </c>
      <c r="O22" s="71" t="e">
        <f t="shared" si="2"/>
        <v>#DIV/0!</v>
      </c>
      <c r="P22" s="71">
        <f t="shared" si="27"/>
        <v>0</v>
      </c>
      <c r="Q22" s="103">
        <f t="shared" si="3"/>
        <v>0</v>
      </c>
      <c r="R22" s="339">
        <f t="shared" si="4"/>
        <v>0</v>
      </c>
      <c r="S22" s="340">
        <f t="shared" si="5"/>
        <v>0</v>
      </c>
      <c r="T22" s="341">
        <f t="shared" si="15"/>
        <v>0</v>
      </c>
      <c r="V22" s="64">
        <f>'     3-AE     '!J24</f>
        <v>0</v>
      </c>
      <c r="W22" s="231">
        <f>IF(V22=V21,0,'C-P'!$R19)</f>
        <v>0</v>
      </c>
      <c r="X22" s="231">
        <f>IF(V22=V23,0,'C-P'!$R20)</f>
        <v>0</v>
      </c>
      <c r="Y22" s="237">
        <f t="shared" si="28"/>
        <v>0</v>
      </c>
      <c r="Z22" s="76">
        <f t="shared" si="29"/>
        <v>0</v>
      </c>
      <c r="AA22" s="71" t="e">
        <f t="shared" si="6"/>
        <v>#DIV/0!</v>
      </c>
      <c r="AB22" s="71">
        <f t="shared" si="30"/>
        <v>0</v>
      </c>
      <c r="AC22" s="103">
        <f t="shared" si="16"/>
        <v>0</v>
      </c>
      <c r="AD22" s="339">
        <f t="shared" si="17"/>
        <v>0</v>
      </c>
      <c r="AE22" s="340">
        <f t="shared" si="7"/>
        <v>0</v>
      </c>
      <c r="AF22" s="341">
        <f t="shared" si="18"/>
        <v>0</v>
      </c>
      <c r="AH22" s="242">
        <f t="shared" si="19"/>
        <v>0</v>
      </c>
      <c r="AI22" s="239">
        <f t="shared" si="8"/>
        <v>0</v>
      </c>
      <c r="AJ22" s="242">
        <f t="shared" si="9"/>
        <v>0</v>
      </c>
      <c r="AK22" s="240">
        <f t="shared" si="10"/>
        <v>0</v>
      </c>
      <c r="AL22" s="259">
        <f t="shared" si="11"/>
        <v>0</v>
      </c>
      <c r="AM22" s="79">
        <f t="shared" si="0"/>
        <v>0</v>
      </c>
      <c r="AN22" s="77">
        <f t="shared" si="12"/>
        <v>0</v>
      </c>
      <c r="AO22" s="80">
        <f t="shared" si="1"/>
        <v>0</v>
      </c>
      <c r="AP22" s="242">
        <f t="shared" si="31"/>
        <v>0</v>
      </c>
      <c r="AQ22" s="240">
        <f t="shared" si="20"/>
        <v>0</v>
      </c>
      <c r="AR22" s="242">
        <f t="shared" si="13"/>
        <v>0</v>
      </c>
      <c r="AS22" s="240">
        <f t="shared" si="21"/>
        <v>0</v>
      </c>
      <c r="AT22" s="259">
        <f t="shared" si="22"/>
        <v>0</v>
      </c>
      <c r="AU22" s="78">
        <f t="shared" si="23"/>
        <v>0</v>
      </c>
      <c r="AV22" s="82">
        <f t="shared" si="24"/>
        <v>0</v>
      </c>
      <c r="AW22" s="81">
        <f t="shared" si="25"/>
        <v>0</v>
      </c>
      <c r="BA22" s="210"/>
      <c r="BB22" s="210"/>
      <c r="BF22" s="9"/>
      <c r="BG22" s="9"/>
    </row>
    <row r="23" spans="1:63" ht="13.5" customHeight="1" x14ac:dyDescent="0.2">
      <c r="A23" s="62" t="str">
        <f>'C-CP'!A23</f>
        <v/>
      </c>
      <c r="B23" s="62" t="str">
        <f>'C-CP'!B23</f>
        <v/>
      </c>
      <c r="C23" s="63">
        <f>'C-CP'!C23</f>
        <v>0</v>
      </c>
      <c r="D23" s="102"/>
      <c r="E23" s="4">
        <f>IF(C23=0,0,'C-CP'!E23)</f>
        <v>0</v>
      </c>
      <c r="F23" s="4">
        <f>IF(C23=0,0,'C-CP'!F23)</f>
        <v>0</v>
      </c>
      <c r="G23" s="4">
        <f>IF(C23=0,0,'C-CP'!G23)</f>
        <v>0</v>
      </c>
      <c r="H23" s="4">
        <f>IF(C23=0,0,'C-CP'!H23)</f>
        <v>0</v>
      </c>
      <c r="I23" s="17"/>
      <c r="J23" s="64">
        <f>'     3-AE     '!G25</f>
        <v>0</v>
      </c>
      <c r="K23" s="231">
        <f>IF(J23=J22,0,'C-P'!$R20)</f>
        <v>0</v>
      </c>
      <c r="L23" s="231">
        <f>IF(J23=J24,0,'C-P'!$R21)</f>
        <v>0</v>
      </c>
      <c r="M23" s="237">
        <f t="shared" si="14"/>
        <v>0</v>
      </c>
      <c r="N23" s="76">
        <f t="shared" si="26"/>
        <v>0</v>
      </c>
      <c r="O23" s="71" t="e">
        <f t="shared" si="2"/>
        <v>#DIV/0!</v>
      </c>
      <c r="P23" s="71">
        <f t="shared" si="27"/>
        <v>0</v>
      </c>
      <c r="Q23" s="103">
        <f t="shared" si="3"/>
        <v>0</v>
      </c>
      <c r="R23" s="339">
        <f t="shared" si="4"/>
        <v>0</v>
      </c>
      <c r="S23" s="340">
        <f t="shared" si="5"/>
        <v>0</v>
      </c>
      <c r="T23" s="341">
        <f t="shared" si="15"/>
        <v>0</v>
      </c>
      <c r="V23" s="64">
        <f>'     3-AE     '!J25</f>
        <v>0</v>
      </c>
      <c r="W23" s="231">
        <f>IF(V23=V22,0,'C-P'!$R20)</f>
        <v>0</v>
      </c>
      <c r="X23" s="231">
        <f>IF(V23=V24,0,'C-P'!$R21)</f>
        <v>0</v>
      </c>
      <c r="Y23" s="237">
        <f t="shared" si="28"/>
        <v>0</v>
      </c>
      <c r="Z23" s="76">
        <f t="shared" si="29"/>
        <v>0</v>
      </c>
      <c r="AA23" s="71" t="e">
        <f t="shared" si="6"/>
        <v>#DIV/0!</v>
      </c>
      <c r="AB23" s="71">
        <f t="shared" si="30"/>
        <v>0</v>
      </c>
      <c r="AC23" s="103">
        <f t="shared" si="16"/>
        <v>0</v>
      </c>
      <c r="AD23" s="339">
        <f t="shared" si="17"/>
        <v>0</v>
      </c>
      <c r="AE23" s="340">
        <f t="shared" si="7"/>
        <v>0</v>
      </c>
      <c r="AF23" s="341">
        <f t="shared" si="18"/>
        <v>0</v>
      </c>
      <c r="AH23" s="242">
        <f t="shared" si="19"/>
        <v>0</v>
      </c>
      <c r="AI23" s="239">
        <f t="shared" si="8"/>
        <v>0</v>
      </c>
      <c r="AJ23" s="242">
        <f t="shared" si="9"/>
        <v>0</v>
      </c>
      <c r="AK23" s="240">
        <f t="shared" si="10"/>
        <v>0</v>
      </c>
      <c r="AL23" s="259">
        <f t="shared" si="11"/>
        <v>0</v>
      </c>
      <c r="AM23" s="79">
        <f t="shared" si="0"/>
        <v>0</v>
      </c>
      <c r="AN23" s="77">
        <f t="shared" si="12"/>
        <v>0</v>
      </c>
      <c r="AO23" s="80">
        <f t="shared" si="1"/>
        <v>0</v>
      </c>
      <c r="AP23" s="242">
        <f t="shared" si="31"/>
        <v>0</v>
      </c>
      <c r="AQ23" s="240">
        <f t="shared" si="20"/>
        <v>0</v>
      </c>
      <c r="AR23" s="242">
        <f t="shared" si="13"/>
        <v>0</v>
      </c>
      <c r="AS23" s="240">
        <f t="shared" si="21"/>
        <v>0</v>
      </c>
      <c r="AT23" s="259">
        <f t="shared" si="22"/>
        <v>0</v>
      </c>
      <c r="AU23" s="78">
        <f t="shared" si="23"/>
        <v>0</v>
      </c>
      <c r="AV23" s="82">
        <f t="shared" si="24"/>
        <v>0</v>
      </c>
      <c r="AW23" s="81">
        <f t="shared" si="25"/>
        <v>0</v>
      </c>
      <c r="BA23" s="210"/>
      <c r="BB23" s="210"/>
      <c r="BF23" s="9"/>
      <c r="BG23" s="9"/>
    </row>
    <row r="24" spans="1:63" ht="13.5" customHeight="1" x14ac:dyDescent="0.2">
      <c r="A24" s="62" t="str">
        <f>'C-CP'!A24</f>
        <v/>
      </c>
      <c r="B24" s="62" t="str">
        <f>'C-CP'!B24</f>
        <v/>
      </c>
      <c r="C24" s="63">
        <f>'C-CP'!C24</f>
        <v>0</v>
      </c>
      <c r="D24" s="102"/>
      <c r="E24" s="4">
        <f>IF(C24=0,0,'C-CP'!E24)</f>
        <v>0</v>
      </c>
      <c r="F24" s="4">
        <f>IF(C24=0,0,'C-CP'!F24)</f>
        <v>0</v>
      </c>
      <c r="G24" s="4">
        <f>IF(C24=0,0,'C-CP'!G24)</f>
        <v>0</v>
      </c>
      <c r="H24" s="4">
        <f>IF(C24=0,0,'C-CP'!H24)</f>
        <v>0</v>
      </c>
      <c r="I24" s="17"/>
      <c r="J24" s="64">
        <f>'     3-AE     '!G26</f>
        <v>0</v>
      </c>
      <c r="K24" s="231">
        <f>IF(J24=J23,0,'C-P'!$R21)</f>
        <v>0</v>
      </c>
      <c r="L24" s="231">
        <f>IF(J24=J25,0,'C-P'!$R22)</f>
        <v>0</v>
      </c>
      <c r="M24" s="237">
        <f t="shared" si="14"/>
        <v>0</v>
      </c>
      <c r="N24" s="76">
        <f t="shared" si="26"/>
        <v>0</v>
      </c>
      <c r="O24" s="71" t="e">
        <f t="shared" si="2"/>
        <v>#DIV/0!</v>
      </c>
      <c r="P24" s="71">
        <f t="shared" si="27"/>
        <v>0</v>
      </c>
      <c r="Q24" s="103">
        <f t="shared" si="3"/>
        <v>0</v>
      </c>
      <c r="R24" s="339">
        <f t="shared" si="4"/>
        <v>0</v>
      </c>
      <c r="S24" s="340">
        <f t="shared" si="5"/>
        <v>0</v>
      </c>
      <c r="T24" s="341">
        <f t="shared" si="15"/>
        <v>0</v>
      </c>
      <c r="V24" s="64">
        <f>'     3-AE     '!J26</f>
        <v>0</v>
      </c>
      <c r="W24" s="231">
        <f>IF(V24=V23,0,'C-P'!$R21)</f>
        <v>0</v>
      </c>
      <c r="X24" s="231">
        <f>IF(V24=V25,0,'C-P'!$R22)</f>
        <v>0</v>
      </c>
      <c r="Y24" s="237">
        <f t="shared" si="28"/>
        <v>0</v>
      </c>
      <c r="Z24" s="76">
        <f t="shared" si="29"/>
        <v>0</v>
      </c>
      <c r="AA24" s="71" t="e">
        <f t="shared" si="6"/>
        <v>#DIV/0!</v>
      </c>
      <c r="AB24" s="71">
        <f t="shared" si="30"/>
        <v>0</v>
      </c>
      <c r="AC24" s="103">
        <f t="shared" si="16"/>
        <v>0</v>
      </c>
      <c r="AD24" s="339">
        <f t="shared" si="17"/>
        <v>0</v>
      </c>
      <c r="AE24" s="340">
        <f t="shared" si="7"/>
        <v>0</v>
      </c>
      <c r="AF24" s="341">
        <f t="shared" si="18"/>
        <v>0</v>
      </c>
      <c r="AH24" s="242">
        <f t="shared" si="19"/>
        <v>0</v>
      </c>
      <c r="AI24" s="239">
        <f t="shared" si="8"/>
        <v>0</v>
      </c>
      <c r="AJ24" s="242">
        <f t="shared" si="9"/>
        <v>0</v>
      </c>
      <c r="AK24" s="240">
        <f t="shared" si="10"/>
        <v>0</v>
      </c>
      <c r="AL24" s="259">
        <f t="shared" si="11"/>
        <v>0</v>
      </c>
      <c r="AM24" s="79">
        <f t="shared" si="0"/>
        <v>0</v>
      </c>
      <c r="AN24" s="77">
        <f t="shared" si="12"/>
        <v>0</v>
      </c>
      <c r="AO24" s="80">
        <f t="shared" si="1"/>
        <v>0</v>
      </c>
      <c r="AP24" s="242">
        <f t="shared" si="31"/>
        <v>0</v>
      </c>
      <c r="AQ24" s="240">
        <f t="shared" si="20"/>
        <v>0</v>
      </c>
      <c r="AR24" s="242">
        <f t="shared" si="13"/>
        <v>0</v>
      </c>
      <c r="AS24" s="240">
        <f t="shared" si="21"/>
        <v>0</v>
      </c>
      <c r="AT24" s="259">
        <f t="shared" si="22"/>
        <v>0</v>
      </c>
      <c r="AU24" s="78">
        <f t="shared" si="23"/>
        <v>0</v>
      </c>
      <c r="AV24" s="82">
        <f t="shared" si="24"/>
        <v>0</v>
      </c>
      <c r="AW24" s="81">
        <f t="shared" si="25"/>
        <v>0</v>
      </c>
      <c r="BA24" s="210"/>
      <c r="BB24" s="210"/>
      <c r="BF24" s="9"/>
      <c r="BG24" s="9"/>
    </row>
    <row r="25" spans="1:63" ht="13.5" customHeight="1" x14ac:dyDescent="0.2">
      <c r="A25" s="62" t="str">
        <f>'C-CP'!A25</f>
        <v/>
      </c>
      <c r="B25" s="62" t="str">
        <f>'C-CP'!B25</f>
        <v/>
      </c>
      <c r="C25" s="63">
        <f>'C-CP'!C25</f>
        <v>0</v>
      </c>
      <c r="D25" s="102"/>
      <c r="E25" s="4">
        <f>IF(C25=0,0,'C-CP'!E25)</f>
        <v>0</v>
      </c>
      <c r="F25" s="4">
        <f>IF(C25=0,0,'C-CP'!F25)</f>
        <v>0</v>
      </c>
      <c r="G25" s="4">
        <f>IF(C25=0,0,'C-CP'!G25)</f>
        <v>0</v>
      </c>
      <c r="H25" s="4">
        <f>IF(C25=0,0,'C-CP'!H25)</f>
        <v>0</v>
      </c>
      <c r="I25" s="17"/>
      <c r="J25" s="64">
        <f>'     3-AE     '!G27</f>
        <v>0</v>
      </c>
      <c r="K25" s="231">
        <f>IF(J25=J24,0,'C-P'!$R22)</f>
        <v>0</v>
      </c>
      <c r="L25" s="231">
        <f>IF(J25=J26,0,'C-P'!$R23)</f>
        <v>0</v>
      </c>
      <c r="M25" s="237">
        <f t="shared" si="14"/>
        <v>0</v>
      </c>
      <c r="N25" s="76">
        <f t="shared" si="26"/>
        <v>0</v>
      </c>
      <c r="O25" s="71" t="e">
        <f t="shared" si="2"/>
        <v>#DIV/0!</v>
      </c>
      <c r="P25" s="71">
        <f t="shared" si="27"/>
        <v>0</v>
      </c>
      <c r="Q25" s="103">
        <f t="shared" si="3"/>
        <v>0</v>
      </c>
      <c r="R25" s="339">
        <f t="shared" si="4"/>
        <v>0</v>
      </c>
      <c r="S25" s="340">
        <f t="shared" si="5"/>
        <v>0</v>
      </c>
      <c r="T25" s="341">
        <f t="shared" si="15"/>
        <v>0</v>
      </c>
      <c r="V25" s="64">
        <f>'     3-AE     '!J27</f>
        <v>0</v>
      </c>
      <c r="W25" s="231">
        <f>IF(V25=V24,0,'C-P'!$R22)</f>
        <v>0</v>
      </c>
      <c r="X25" s="231">
        <f>IF(V25=V26,0,'C-P'!$R23)</f>
        <v>0</v>
      </c>
      <c r="Y25" s="237">
        <f t="shared" si="28"/>
        <v>0</v>
      </c>
      <c r="Z25" s="76">
        <f t="shared" si="29"/>
        <v>0</v>
      </c>
      <c r="AA25" s="71" t="e">
        <f t="shared" si="6"/>
        <v>#DIV/0!</v>
      </c>
      <c r="AB25" s="71">
        <f t="shared" si="30"/>
        <v>0</v>
      </c>
      <c r="AC25" s="103">
        <f t="shared" si="16"/>
        <v>0</v>
      </c>
      <c r="AD25" s="339">
        <f t="shared" si="17"/>
        <v>0</v>
      </c>
      <c r="AE25" s="340">
        <f t="shared" si="7"/>
        <v>0</v>
      </c>
      <c r="AF25" s="341">
        <f t="shared" si="18"/>
        <v>0</v>
      </c>
      <c r="AH25" s="242">
        <f t="shared" si="19"/>
        <v>0</v>
      </c>
      <c r="AI25" s="239">
        <f t="shared" si="8"/>
        <v>0</v>
      </c>
      <c r="AJ25" s="242">
        <f t="shared" si="9"/>
        <v>0</v>
      </c>
      <c r="AK25" s="240">
        <f t="shared" si="10"/>
        <v>0</v>
      </c>
      <c r="AL25" s="259">
        <f t="shared" si="11"/>
        <v>0</v>
      </c>
      <c r="AM25" s="79">
        <f t="shared" si="0"/>
        <v>0</v>
      </c>
      <c r="AN25" s="77">
        <f t="shared" si="12"/>
        <v>0</v>
      </c>
      <c r="AO25" s="80">
        <f t="shared" si="1"/>
        <v>0</v>
      </c>
      <c r="AP25" s="242">
        <f t="shared" si="31"/>
        <v>0</v>
      </c>
      <c r="AQ25" s="240">
        <f t="shared" si="20"/>
        <v>0</v>
      </c>
      <c r="AR25" s="242">
        <f t="shared" si="13"/>
        <v>0</v>
      </c>
      <c r="AS25" s="240">
        <f t="shared" si="21"/>
        <v>0</v>
      </c>
      <c r="AT25" s="259">
        <f t="shared" si="22"/>
        <v>0</v>
      </c>
      <c r="AU25" s="78">
        <f t="shared" si="23"/>
        <v>0</v>
      </c>
      <c r="AV25" s="82">
        <f t="shared" si="24"/>
        <v>0</v>
      </c>
      <c r="AW25" s="81">
        <f t="shared" si="25"/>
        <v>0</v>
      </c>
      <c r="BA25" s="210"/>
      <c r="BB25" s="210"/>
      <c r="BF25" s="9"/>
      <c r="BG25" s="9"/>
    </row>
    <row r="26" spans="1:63" ht="13.5" customHeight="1" x14ac:dyDescent="0.2">
      <c r="A26" s="62" t="str">
        <f>'C-CP'!A26</f>
        <v/>
      </c>
      <c r="B26" s="62" t="str">
        <f>'C-CP'!B26</f>
        <v/>
      </c>
      <c r="C26" s="63">
        <f>'C-CP'!C26</f>
        <v>0</v>
      </c>
      <c r="D26" s="102"/>
      <c r="E26" s="4">
        <f>IF(C26=0,0,'C-CP'!E26)</f>
        <v>0</v>
      </c>
      <c r="F26" s="4">
        <f>IF(C26=0,0,'C-CP'!F26)</f>
        <v>0</v>
      </c>
      <c r="G26" s="4">
        <f>IF(C26=0,0,'C-CP'!G26)</f>
        <v>0</v>
      </c>
      <c r="H26" s="4">
        <f>IF(C26=0,0,'C-CP'!H26)</f>
        <v>0</v>
      </c>
      <c r="I26" s="17"/>
      <c r="J26" s="64">
        <f>'     3-AE     '!G28</f>
        <v>0</v>
      </c>
      <c r="K26" s="231">
        <f>IF(J26=J25,0,'C-P'!$R23)</f>
        <v>0</v>
      </c>
      <c r="L26" s="231">
        <f>IF(J26=J27,0,'C-P'!$R24)</f>
        <v>0</v>
      </c>
      <c r="M26" s="237">
        <f t="shared" si="14"/>
        <v>0</v>
      </c>
      <c r="N26" s="76">
        <f t="shared" si="26"/>
        <v>0</v>
      </c>
      <c r="O26" s="71" t="e">
        <f t="shared" si="2"/>
        <v>#DIV/0!</v>
      </c>
      <c r="P26" s="71">
        <f t="shared" si="27"/>
        <v>0</v>
      </c>
      <c r="Q26" s="103">
        <f t="shared" si="3"/>
        <v>0</v>
      </c>
      <c r="R26" s="339">
        <f t="shared" si="4"/>
        <v>0</v>
      </c>
      <c r="S26" s="340">
        <f t="shared" si="5"/>
        <v>0</v>
      </c>
      <c r="T26" s="341">
        <f t="shared" si="15"/>
        <v>0</v>
      </c>
      <c r="V26" s="64">
        <f>'     3-AE     '!J28</f>
        <v>0</v>
      </c>
      <c r="W26" s="231">
        <f>IF(V26=V25,0,'C-P'!$R23)</f>
        <v>0</v>
      </c>
      <c r="X26" s="231">
        <f>IF(V26=V27,0,'C-P'!$R24)</f>
        <v>0</v>
      </c>
      <c r="Y26" s="237">
        <f t="shared" si="28"/>
        <v>0</v>
      </c>
      <c r="Z26" s="76">
        <f t="shared" si="29"/>
        <v>0</v>
      </c>
      <c r="AA26" s="71" t="e">
        <f t="shared" si="6"/>
        <v>#DIV/0!</v>
      </c>
      <c r="AB26" s="71">
        <f t="shared" si="30"/>
        <v>0</v>
      </c>
      <c r="AC26" s="103">
        <f t="shared" si="16"/>
        <v>0</v>
      </c>
      <c r="AD26" s="339">
        <f t="shared" si="17"/>
        <v>0</v>
      </c>
      <c r="AE26" s="340">
        <f t="shared" si="7"/>
        <v>0</v>
      </c>
      <c r="AF26" s="341">
        <f t="shared" si="18"/>
        <v>0</v>
      </c>
      <c r="AH26" s="242">
        <f t="shared" si="19"/>
        <v>0</v>
      </c>
      <c r="AI26" s="239">
        <f t="shared" si="8"/>
        <v>0</v>
      </c>
      <c r="AJ26" s="242">
        <f t="shared" si="9"/>
        <v>0</v>
      </c>
      <c r="AK26" s="240">
        <f t="shared" si="10"/>
        <v>0</v>
      </c>
      <c r="AL26" s="259">
        <f t="shared" si="11"/>
        <v>0</v>
      </c>
      <c r="AM26" s="79">
        <f t="shared" si="0"/>
        <v>0</v>
      </c>
      <c r="AN26" s="77">
        <f t="shared" si="12"/>
        <v>0</v>
      </c>
      <c r="AO26" s="80">
        <f t="shared" si="1"/>
        <v>0</v>
      </c>
      <c r="AP26" s="242">
        <f t="shared" si="31"/>
        <v>0</v>
      </c>
      <c r="AQ26" s="240">
        <f t="shared" si="20"/>
        <v>0</v>
      </c>
      <c r="AR26" s="242">
        <f t="shared" si="13"/>
        <v>0</v>
      </c>
      <c r="AS26" s="240">
        <f t="shared" si="21"/>
        <v>0</v>
      </c>
      <c r="AT26" s="259">
        <f t="shared" si="22"/>
        <v>0</v>
      </c>
      <c r="AU26" s="78">
        <f t="shared" si="23"/>
        <v>0</v>
      </c>
      <c r="AV26" s="82">
        <f t="shared" si="24"/>
        <v>0</v>
      </c>
      <c r="AW26" s="81">
        <f t="shared" si="25"/>
        <v>0</v>
      </c>
      <c r="BA26" s="210"/>
      <c r="BB26" s="210"/>
      <c r="BF26" s="9"/>
      <c r="BG26" s="9"/>
    </row>
    <row r="27" spans="1:63" ht="13.5" customHeight="1" x14ac:dyDescent="0.2">
      <c r="A27" s="62" t="str">
        <f>'C-CP'!A27</f>
        <v/>
      </c>
      <c r="B27" s="62" t="str">
        <f>'C-CP'!B27</f>
        <v/>
      </c>
      <c r="C27" s="63">
        <f>'C-CP'!C27</f>
        <v>0</v>
      </c>
      <c r="D27" s="102"/>
      <c r="E27" s="4">
        <f>IF(C27=0,0,'C-CP'!E27)</f>
        <v>0</v>
      </c>
      <c r="F27" s="4">
        <f>IF(C27=0,0,'C-CP'!F27)</f>
        <v>0</v>
      </c>
      <c r="G27" s="4">
        <f>IF(C27=0,0,'C-CP'!G27)</f>
        <v>0</v>
      </c>
      <c r="H27" s="4">
        <f>IF(C27=0,0,'C-CP'!H27)</f>
        <v>0</v>
      </c>
      <c r="I27" s="17"/>
      <c r="J27" s="64">
        <f>'     3-AE     '!G29</f>
        <v>0</v>
      </c>
      <c r="K27" s="231">
        <f>IF(J27=J26,0,'C-P'!$R24)</f>
        <v>0</v>
      </c>
      <c r="L27" s="231">
        <f>IF(J27=J28,0,'C-P'!$R25)</f>
        <v>0</v>
      </c>
      <c r="M27" s="237">
        <f t="shared" si="14"/>
        <v>0</v>
      </c>
      <c r="N27" s="76">
        <f t="shared" si="26"/>
        <v>0</v>
      </c>
      <c r="O27" s="71" t="e">
        <f t="shared" si="2"/>
        <v>#DIV/0!</v>
      </c>
      <c r="P27" s="71">
        <f t="shared" si="27"/>
        <v>0</v>
      </c>
      <c r="Q27" s="103">
        <f t="shared" si="3"/>
        <v>0</v>
      </c>
      <c r="R27" s="339">
        <f t="shared" si="4"/>
        <v>0</v>
      </c>
      <c r="S27" s="340">
        <f t="shared" si="5"/>
        <v>0</v>
      </c>
      <c r="T27" s="341">
        <f t="shared" si="15"/>
        <v>0</v>
      </c>
      <c r="V27" s="64">
        <f>'     3-AE     '!J29</f>
        <v>0</v>
      </c>
      <c r="W27" s="231">
        <f>IF(V27=V26,0,'C-P'!$R24)</f>
        <v>0</v>
      </c>
      <c r="X27" s="231">
        <f>IF(V27=V28,0,'C-P'!$R25)</f>
        <v>0</v>
      </c>
      <c r="Y27" s="237">
        <f t="shared" si="28"/>
        <v>0</v>
      </c>
      <c r="Z27" s="76">
        <f t="shared" si="29"/>
        <v>0</v>
      </c>
      <c r="AA27" s="71" t="e">
        <f t="shared" si="6"/>
        <v>#DIV/0!</v>
      </c>
      <c r="AB27" s="71">
        <f t="shared" si="30"/>
        <v>0</v>
      </c>
      <c r="AC27" s="103">
        <f t="shared" si="16"/>
        <v>0</v>
      </c>
      <c r="AD27" s="339">
        <f t="shared" si="17"/>
        <v>0</v>
      </c>
      <c r="AE27" s="340">
        <f t="shared" si="7"/>
        <v>0</v>
      </c>
      <c r="AF27" s="341">
        <f t="shared" si="18"/>
        <v>0</v>
      </c>
      <c r="AH27" s="242">
        <f t="shared" si="19"/>
        <v>0</v>
      </c>
      <c r="AI27" s="239">
        <f t="shared" si="8"/>
        <v>0</v>
      </c>
      <c r="AJ27" s="242">
        <f t="shared" si="9"/>
        <v>0</v>
      </c>
      <c r="AK27" s="240">
        <f t="shared" si="10"/>
        <v>0</v>
      </c>
      <c r="AL27" s="259">
        <f t="shared" si="11"/>
        <v>0</v>
      </c>
      <c r="AM27" s="79">
        <f t="shared" si="0"/>
        <v>0</v>
      </c>
      <c r="AN27" s="77">
        <f t="shared" si="12"/>
        <v>0</v>
      </c>
      <c r="AO27" s="80">
        <f t="shared" si="1"/>
        <v>0</v>
      </c>
      <c r="AP27" s="242">
        <f t="shared" si="31"/>
        <v>0</v>
      </c>
      <c r="AQ27" s="240">
        <f t="shared" si="20"/>
        <v>0</v>
      </c>
      <c r="AR27" s="242">
        <f t="shared" si="13"/>
        <v>0</v>
      </c>
      <c r="AS27" s="240">
        <f t="shared" si="21"/>
        <v>0</v>
      </c>
      <c r="AT27" s="259">
        <f t="shared" si="22"/>
        <v>0</v>
      </c>
      <c r="AU27" s="78">
        <f t="shared" si="23"/>
        <v>0</v>
      </c>
      <c r="AV27" s="82">
        <f t="shared" si="24"/>
        <v>0</v>
      </c>
      <c r="AW27" s="81">
        <f t="shared" si="25"/>
        <v>0</v>
      </c>
      <c r="BA27" s="210"/>
      <c r="BB27" s="210"/>
      <c r="BF27" s="9"/>
      <c r="BG27" s="9"/>
    </row>
    <row r="28" spans="1:63" ht="13.5" customHeight="1" x14ac:dyDescent="0.2">
      <c r="A28" s="62" t="str">
        <f>'C-CP'!A28</f>
        <v/>
      </c>
      <c r="B28" s="62" t="str">
        <f>'C-CP'!B28</f>
        <v/>
      </c>
      <c r="C28" s="63">
        <f>'C-CP'!C28</f>
        <v>0</v>
      </c>
      <c r="D28" s="102"/>
      <c r="E28" s="4">
        <f>IF(C28=0,0,'C-CP'!E28)</f>
        <v>0</v>
      </c>
      <c r="F28" s="4">
        <f>IF(C28=0,0,'C-CP'!F28)</f>
        <v>0</v>
      </c>
      <c r="G28" s="4">
        <f>IF(C28=0,0,'C-CP'!G28)</f>
        <v>0</v>
      </c>
      <c r="H28" s="4">
        <f>IF(C28=0,0,'C-CP'!H28)</f>
        <v>0</v>
      </c>
      <c r="I28" s="17"/>
      <c r="J28" s="64">
        <f>'     3-AE     '!G30</f>
        <v>0</v>
      </c>
      <c r="K28" s="231">
        <f>IF(J28=J27,0,'C-P'!$R25)</f>
        <v>0</v>
      </c>
      <c r="L28" s="231">
        <f>IF(J28=J29,0,'C-P'!$R26)</f>
        <v>0</v>
      </c>
      <c r="M28" s="237">
        <f t="shared" si="14"/>
        <v>0</v>
      </c>
      <c r="N28" s="76">
        <f t="shared" si="26"/>
        <v>0</v>
      </c>
      <c r="O28" s="71" t="e">
        <f t="shared" si="2"/>
        <v>#DIV/0!</v>
      </c>
      <c r="P28" s="71">
        <f t="shared" si="27"/>
        <v>0</v>
      </c>
      <c r="Q28" s="103">
        <f t="shared" si="3"/>
        <v>0</v>
      </c>
      <c r="R28" s="339">
        <f t="shared" si="4"/>
        <v>0</v>
      </c>
      <c r="S28" s="340">
        <f t="shared" si="5"/>
        <v>0</v>
      </c>
      <c r="T28" s="341">
        <f t="shared" si="15"/>
        <v>0</v>
      </c>
      <c r="V28" s="64">
        <f>'     3-AE     '!J30</f>
        <v>0</v>
      </c>
      <c r="W28" s="231">
        <f>IF(V28=V27,0,'C-P'!$R25)</f>
        <v>0</v>
      </c>
      <c r="X28" s="231">
        <f>IF(V28=V29,0,'C-P'!$R26)</f>
        <v>0</v>
      </c>
      <c r="Y28" s="237">
        <f t="shared" si="28"/>
        <v>0</v>
      </c>
      <c r="Z28" s="76">
        <f t="shared" si="29"/>
        <v>0</v>
      </c>
      <c r="AA28" s="71" t="e">
        <f t="shared" si="6"/>
        <v>#DIV/0!</v>
      </c>
      <c r="AB28" s="71">
        <f t="shared" si="30"/>
        <v>0</v>
      </c>
      <c r="AC28" s="103">
        <f t="shared" si="16"/>
        <v>0</v>
      </c>
      <c r="AD28" s="339">
        <f t="shared" si="17"/>
        <v>0</v>
      </c>
      <c r="AE28" s="340">
        <f t="shared" si="7"/>
        <v>0</v>
      </c>
      <c r="AF28" s="341">
        <f t="shared" si="18"/>
        <v>0</v>
      </c>
      <c r="AH28" s="242">
        <f t="shared" si="19"/>
        <v>0</v>
      </c>
      <c r="AI28" s="239">
        <f t="shared" si="8"/>
        <v>0</v>
      </c>
      <c r="AJ28" s="242">
        <f t="shared" si="9"/>
        <v>0</v>
      </c>
      <c r="AK28" s="240">
        <f t="shared" si="10"/>
        <v>0</v>
      </c>
      <c r="AL28" s="259">
        <f t="shared" si="11"/>
        <v>0</v>
      </c>
      <c r="AM28" s="79">
        <f t="shared" si="0"/>
        <v>0</v>
      </c>
      <c r="AN28" s="77">
        <f t="shared" si="12"/>
        <v>0</v>
      </c>
      <c r="AO28" s="80">
        <f t="shared" si="1"/>
        <v>0</v>
      </c>
      <c r="AP28" s="242">
        <f t="shared" si="31"/>
        <v>0</v>
      </c>
      <c r="AQ28" s="240">
        <f t="shared" si="20"/>
        <v>0</v>
      </c>
      <c r="AR28" s="242">
        <f t="shared" si="13"/>
        <v>0</v>
      </c>
      <c r="AS28" s="240">
        <f t="shared" si="21"/>
        <v>0</v>
      </c>
      <c r="AT28" s="259">
        <f t="shared" si="22"/>
        <v>0</v>
      </c>
      <c r="AU28" s="78">
        <f t="shared" si="23"/>
        <v>0</v>
      </c>
      <c r="AV28" s="82">
        <f t="shared" si="24"/>
        <v>0</v>
      </c>
      <c r="AW28" s="81">
        <f t="shared" si="25"/>
        <v>0</v>
      </c>
      <c r="BA28" s="210"/>
      <c r="BB28" s="210"/>
      <c r="BF28" s="9"/>
      <c r="BG28" s="9"/>
    </row>
    <row r="29" spans="1:63" ht="13.5" customHeight="1" x14ac:dyDescent="0.2">
      <c r="A29" s="62" t="str">
        <f>'C-CP'!A29</f>
        <v/>
      </c>
      <c r="B29" s="62" t="str">
        <f>'C-CP'!B29</f>
        <v/>
      </c>
      <c r="C29" s="63">
        <f>'C-CP'!C29</f>
        <v>0</v>
      </c>
      <c r="D29" s="102"/>
      <c r="E29" s="4">
        <f>IF(C29=0,0,'C-CP'!E29)</f>
        <v>0</v>
      </c>
      <c r="F29" s="4">
        <f>IF(C29=0,0,'C-CP'!F29)</f>
        <v>0</v>
      </c>
      <c r="G29" s="4">
        <f>IF(C29=0,0,'C-CP'!G29)</f>
        <v>0</v>
      </c>
      <c r="H29" s="4">
        <f>IF(C29=0,0,'C-CP'!H29)</f>
        <v>0</v>
      </c>
      <c r="I29" s="17"/>
      <c r="J29" s="64">
        <f>'     3-AE     '!G31</f>
        <v>0</v>
      </c>
      <c r="K29" s="231">
        <f>IF(J29=J28,0,'C-P'!$R26)</f>
        <v>0</v>
      </c>
      <c r="L29" s="231">
        <f>IF(J29=J30,0,'C-P'!$R27)</f>
        <v>0</v>
      </c>
      <c r="M29" s="237">
        <f t="shared" si="14"/>
        <v>0</v>
      </c>
      <c r="N29" s="76">
        <f t="shared" si="26"/>
        <v>0</v>
      </c>
      <c r="O29" s="71" t="e">
        <f t="shared" si="2"/>
        <v>#DIV/0!</v>
      </c>
      <c r="P29" s="71">
        <f t="shared" si="27"/>
        <v>0</v>
      </c>
      <c r="Q29" s="103">
        <f t="shared" si="3"/>
        <v>0</v>
      </c>
      <c r="R29" s="339">
        <f t="shared" si="4"/>
        <v>0</v>
      </c>
      <c r="S29" s="340">
        <f t="shared" si="5"/>
        <v>0</v>
      </c>
      <c r="T29" s="341">
        <f t="shared" si="15"/>
        <v>0</v>
      </c>
      <c r="V29" s="64">
        <f>'     3-AE     '!J31</f>
        <v>0</v>
      </c>
      <c r="W29" s="231">
        <f>IF(V29=V28,0,'C-P'!$R26)</f>
        <v>0</v>
      </c>
      <c r="X29" s="231">
        <f>IF(V29=V30,0,'C-P'!$R27)</f>
        <v>0</v>
      </c>
      <c r="Y29" s="237">
        <f t="shared" si="28"/>
        <v>0</v>
      </c>
      <c r="Z29" s="76">
        <f t="shared" si="29"/>
        <v>0</v>
      </c>
      <c r="AA29" s="71" t="e">
        <f t="shared" si="6"/>
        <v>#DIV/0!</v>
      </c>
      <c r="AB29" s="71">
        <f t="shared" si="30"/>
        <v>0</v>
      </c>
      <c r="AC29" s="103">
        <f t="shared" si="16"/>
        <v>0</v>
      </c>
      <c r="AD29" s="339">
        <f t="shared" si="17"/>
        <v>0</v>
      </c>
      <c r="AE29" s="340">
        <f t="shared" si="7"/>
        <v>0</v>
      </c>
      <c r="AF29" s="341">
        <f t="shared" si="18"/>
        <v>0</v>
      </c>
      <c r="AH29" s="242">
        <f t="shared" si="19"/>
        <v>0</v>
      </c>
      <c r="AI29" s="239">
        <f t="shared" si="8"/>
        <v>0</v>
      </c>
      <c r="AJ29" s="242">
        <f t="shared" si="9"/>
        <v>0</v>
      </c>
      <c r="AK29" s="240">
        <f t="shared" si="10"/>
        <v>0</v>
      </c>
      <c r="AL29" s="259">
        <f t="shared" si="11"/>
        <v>0</v>
      </c>
      <c r="AM29" s="79">
        <f t="shared" si="0"/>
        <v>0</v>
      </c>
      <c r="AN29" s="77">
        <f t="shared" si="12"/>
        <v>0</v>
      </c>
      <c r="AO29" s="80">
        <f t="shared" si="1"/>
        <v>0</v>
      </c>
      <c r="AP29" s="242">
        <f t="shared" si="31"/>
        <v>0</v>
      </c>
      <c r="AQ29" s="240">
        <f t="shared" si="20"/>
        <v>0</v>
      </c>
      <c r="AR29" s="242">
        <f t="shared" si="13"/>
        <v>0</v>
      </c>
      <c r="AS29" s="240">
        <f t="shared" si="21"/>
        <v>0</v>
      </c>
      <c r="AT29" s="259">
        <f t="shared" si="22"/>
        <v>0</v>
      </c>
      <c r="AU29" s="78">
        <f t="shared" si="23"/>
        <v>0</v>
      </c>
      <c r="AV29" s="82">
        <f t="shared" si="24"/>
        <v>0</v>
      </c>
      <c r="AW29" s="81">
        <f t="shared" si="25"/>
        <v>0</v>
      </c>
      <c r="AZ29" s="210"/>
      <c r="BA29" s="210"/>
      <c r="BB29" s="210"/>
      <c r="BC29" s="9"/>
      <c r="BD29" s="9"/>
      <c r="BF29" s="9"/>
      <c r="BG29" s="9"/>
    </row>
    <row r="30" spans="1:63" ht="13.5" customHeight="1" x14ac:dyDescent="0.2">
      <c r="A30" s="62" t="str">
        <f>'C-CP'!A30</f>
        <v/>
      </c>
      <c r="B30" s="62" t="str">
        <f>'C-CP'!B30</f>
        <v/>
      </c>
      <c r="C30" s="62">
        <f>'C-CP'!C30</f>
        <v>0</v>
      </c>
      <c r="D30" s="102"/>
      <c r="E30" s="4">
        <f>IF(C30=0,0,'C-CP'!E30)</f>
        <v>0</v>
      </c>
      <c r="F30" s="4">
        <f>IF(C30=0,0,'C-CP'!F30)</f>
        <v>0</v>
      </c>
      <c r="G30" s="4">
        <f>IF(C30=0,0,'C-CP'!G30)</f>
        <v>0</v>
      </c>
      <c r="H30" s="4">
        <f>IF(C30=0,0,'C-CP'!H30)</f>
        <v>0</v>
      </c>
      <c r="I30" s="17"/>
      <c r="J30" s="64">
        <f>'     3-AE     '!G32</f>
        <v>0</v>
      </c>
      <c r="K30" s="231">
        <f>IF(J30=J29,0,IF(L29='C-P'!$R27,0,'C-P'!$R27))</f>
        <v>0</v>
      </c>
      <c r="L30" s="231">
        <f>IF(J30=J31,0,'C-P'!$R28)</f>
        <v>0</v>
      </c>
      <c r="M30" s="237">
        <f t="shared" si="14"/>
        <v>0</v>
      </c>
      <c r="N30" s="76">
        <f t="shared" si="26"/>
        <v>0</v>
      </c>
      <c r="O30" s="71" t="e">
        <f t="shared" si="2"/>
        <v>#DIV/0!</v>
      </c>
      <c r="P30" s="71">
        <f t="shared" si="27"/>
        <v>0</v>
      </c>
      <c r="Q30" s="103">
        <f t="shared" si="3"/>
        <v>0</v>
      </c>
      <c r="R30" s="339">
        <f t="shared" si="4"/>
        <v>0</v>
      </c>
      <c r="S30" s="340">
        <f t="shared" si="5"/>
        <v>0</v>
      </c>
      <c r="T30" s="341">
        <f t="shared" si="15"/>
        <v>0</v>
      </c>
      <c r="V30" s="64">
        <f>'     3-AE     '!J32</f>
        <v>0</v>
      </c>
      <c r="W30" s="231">
        <f>IF(V30=V29,0,IF(X29='C-P'!$R27,0,'C-P'!$R27))</f>
        <v>0</v>
      </c>
      <c r="X30" s="231">
        <f>IF(V30=V31,0,'C-P'!$R28)</f>
        <v>0</v>
      </c>
      <c r="Y30" s="237">
        <f t="shared" si="28"/>
        <v>0</v>
      </c>
      <c r="Z30" s="76">
        <f t="shared" si="29"/>
        <v>0</v>
      </c>
      <c r="AA30" s="71" t="e">
        <f t="shared" si="6"/>
        <v>#DIV/0!</v>
      </c>
      <c r="AB30" s="71">
        <f t="shared" si="30"/>
        <v>0</v>
      </c>
      <c r="AC30" s="103">
        <f t="shared" si="16"/>
        <v>0</v>
      </c>
      <c r="AD30" s="339">
        <f t="shared" si="17"/>
        <v>0</v>
      </c>
      <c r="AE30" s="340">
        <f t="shared" si="7"/>
        <v>0</v>
      </c>
      <c r="AF30" s="341">
        <f t="shared" si="18"/>
        <v>0</v>
      </c>
      <c r="AH30" s="242">
        <f t="shared" si="19"/>
        <v>0</v>
      </c>
      <c r="AI30" s="239">
        <f t="shared" si="8"/>
        <v>0</v>
      </c>
      <c r="AJ30" s="242">
        <f t="shared" si="9"/>
        <v>0</v>
      </c>
      <c r="AK30" s="240">
        <f t="shared" si="10"/>
        <v>0</v>
      </c>
      <c r="AL30" s="259">
        <f t="shared" si="11"/>
        <v>0</v>
      </c>
      <c r="AM30" s="79">
        <f t="shared" si="0"/>
        <v>0</v>
      </c>
      <c r="AN30" s="77">
        <f t="shared" si="12"/>
        <v>0</v>
      </c>
      <c r="AO30" s="80">
        <f t="shared" si="1"/>
        <v>0</v>
      </c>
      <c r="AP30" s="242">
        <f t="shared" si="31"/>
        <v>0</v>
      </c>
      <c r="AQ30" s="240">
        <f t="shared" si="20"/>
        <v>0</v>
      </c>
      <c r="AR30" s="242">
        <f t="shared" si="13"/>
        <v>0</v>
      </c>
      <c r="AS30" s="240">
        <f t="shared" si="21"/>
        <v>0</v>
      </c>
      <c r="AT30" s="259">
        <f t="shared" si="22"/>
        <v>0</v>
      </c>
      <c r="AU30" s="78">
        <f t="shared" si="23"/>
        <v>0</v>
      </c>
      <c r="AV30" s="82">
        <f t="shared" si="24"/>
        <v>0</v>
      </c>
      <c r="AW30" s="81">
        <f t="shared" si="25"/>
        <v>0</v>
      </c>
      <c r="AZ30" s="210"/>
      <c r="BA30" s="210"/>
      <c r="BB30" s="210"/>
      <c r="BC30" s="9"/>
      <c r="BD30" s="9"/>
      <c r="BF30" s="9"/>
      <c r="BG30" s="9"/>
    </row>
    <row r="31" spans="1:63" ht="13.5" customHeight="1" thickBot="1" x14ac:dyDescent="0.25">
      <c r="A31" s="62" t="str">
        <f>'C-CP'!A31</f>
        <v/>
      </c>
      <c r="B31" s="62" t="str">
        <f>'C-CP'!B31</f>
        <v/>
      </c>
      <c r="C31" s="62">
        <f>'C-CP'!C31</f>
        <v>0</v>
      </c>
      <c r="D31" s="102"/>
      <c r="E31" s="4">
        <f>IF(C31=0,0,'C-CP'!E31)</f>
        <v>0</v>
      </c>
      <c r="F31" s="4">
        <f>IF(C31=0,0,'C-CP'!F31)</f>
        <v>0</v>
      </c>
      <c r="G31" s="4">
        <f>IF(C31=0,0,'C-CP'!G31)</f>
        <v>0</v>
      </c>
      <c r="H31" s="4">
        <f>IF(C31=0,0,'C-CP'!H31)</f>
        <v>0</v>
      </c>
      <c r="I31" s="17"/>
      <c r="J31" s="64">
        <f>'     3-AE     '!G33</f>
        <v>0</v>
      </c>
      <c r="K31" s="231">
        <f>IF(J31=J30,0,'C-P'!$R28)</f>
        <v>0</v>
      </c>
      <c r="L31" s="370" t="str">
        <f>IF(J31="",0,'C-P'!$R29)</f>
        <v/>
      </c>
      <c r="M31" s="237">
        <f t="shared" si="14"/>
        <v>0</v>
      </c>
      <c r="N31" s="76">
        <f t="shared" si="26"/>
        <v>0</v>
      </c>
      <c r="O31" s="71" t="e">
        <f t="shared" si="2"/>
        <v>#DIV/0!</v>
      </c>
      <c r="P31" s="71">
        <f t="shared" si="27"/>
        <v>0</v>
      </c>
      <c r="Q31" s="103">
        <f t="shared" si="3"/>
        <v>0</v>
      </c>
      <c r="R31" s="339" t="e">
        <f t="shared" si="4"/>
        <v>#DIV/0!</v>
      </c>
      <c r="S31" s="340">
        <f>IF(J31=J32,0,IF($M31&gt;Espacement_Véhicules,ROUNDDOWN($M31/Espacement_Véhicules+1,0),ROUNDDOWN($M31/Espacement_Véhicules,0)))</f>
        <v>0</v>
      </c>
      <c r="T31" s="341">
        <f t="shared" si="15"/>
        <v>0</v>
      </c>
      <c r="V31" s="64">
        <f>'     3-AE     '!J33</f>
        <v>0</v>
      </c>
      <c r="W31" s="231">
        <f>IF(V31=V30,0,'C-P'!$R28)</f>
        <v>0</v>
      </c>
      <c r="X31" s="231">
        <f>IF(V31=0,0,'C-P'!$R29)</f>
        <v>0</v>
      </c>
      <c r="Y31" s="237">
        <f t="shared" si="28"/>
        <v>0</v>
      </c>
      <c r="Z31" s="76">
        <f t="shared" si="29"/>
        <v>0</v>
      </c>
      <c r="AA31" s="71" t="e">
        <f t="shared" si="6"/>
        <v>#DIV/0!</v>
      </c>
      <c r="AB31" s="71">
        <f t="shared" si="30"/>
        <v>0</v>
      </c>
      <c r="AC31" s="103">
        <f t="shared" si="16"/>
        <v>0</v>
      </c>
      <c r="AD31" s="339">
        <f t="shared" si="17"/>
        <v>0</v>
      </c>
      <c r="AE31" s="340">
        <f t="shared" si="7"/>
        <v>0</v>
      </c>
      <c r="AF31" s="341">
        <f t="shared" si="18"/>
        <v>0</v>
      </c>
      <c r="AH31" s="242">
        <f t="shared" si="19"/>
        <v>0</v>
      </c>
      <c r="AI31" s="239">
        <f t="shared" si="8"/>
        <v>0</v>
      </c>
      <c r="AJ31" s="242">
        <f t="shared" si="9"/>
        <v>0</v>
      </c>
      <c r="AK31" s="240" t="str">
        <f t="shared" si="10"/>
        <v/>
      </c>
      <c r="AL31" s="259">
        <f t="shared" si="11"/>
        <v>0</v>
      </c>
      <c r="AM31" s="194" t="e">
        <f t="shared" si="0"/>
        <v>#DIV/0!</v>
      </c>
      <c r="AN31" s="195">
        <f t="shared" si="12"/>
        <v>0</v>
      </c>
      <c r="AO31" s="196">
        <f t="shared" si="1"/>
        <v>0</v>
      </c>
      <c r="AP31" s="242">
        <f t="shared" si="31"/>
        <v>0</v>
      </c>
      <c r="AQ31" s="240">
        <f t="shared" si="20"/>
        <v>0</v>
      </c>
      <c r="AR31" s="242">
        <f t="shared" si="13"/>
        <v>0</v>
      </c>
      <c r="AS31" s="240">
        <f t="shared" si="21"/>
        <v>0</v>
      </c>
      <c r="AT31" s="259">
        <f t="shared" si="22"/>
        <v>0</v>
      </c>
      <c r="AU31" s="78">
        <f t="shared" si="23"/>
        <v>0</v>
      </c>
      <c r="AV31" s="82">
        <f t="shared" si="24"/>
        <v>0</v>
      </c>
      <c r="AW31" s="81">
        <f t="shared" si="25"/>
        <v>0</v>
      </c>
      <c r="AZ31" s="210"/>
      <c r="BA31" s="210"/>
      <c r="BB31" s="210"/>
      <c r="BC31" s="9"/>
      <c r="BD31" s="9"/>
      <c r="BF31" s="9"/>
      <c r="BG31" s="9"/>
    </row>
    <row r="32" spans="1:63" ht="13.5" customHeight="1" x14ac:dyDescent="0.2">
      <c r="A32" s="62" t="str">
        <f>'C-CP'!A32</f>
        <v/>
      </c>
      <c r="J32" s="347"/>
      <c r="M32" s="229"/>
      <c r="N32" s="229"/>
      <c r="Q32" s="229"/>
      <c r="V32" s="229"/>
      <c r="Y32" s="229"/>
      <c r="Z32" s="229"/>
      <c r="AC32" s="229"/>
      <c r="AH32" s="211" t="str">
        <f>$AH$4</f>
        <v>MNDébut</v>
      </c>
      <c r="AI32" s="212" t="s">
        <v>74</v>
      </c>
      <c r="AJ32" s="213" t="str">
        <f>$AJ$4</f>
        <v>MNFin</v>
      </c>
      <c r="AK32" s="212" t="s">
        <v>75</v>
      </c>
      <c r="AL32" s="212" t="s">
        <v>80</v>
      </c>
      <c r="AM32" s="212" t="s">
        <v>311</v>
      </c>
      <c r="AN32" s="212" t="s">
        <v>304</v>
      </c>
      <c r="AO32" s="212" t="s">
        <v>312</v>
      </c>
      <c r="AP32" s="213" t="str">
        <f>$AP$4</f>
        <v>DNDébut</v>
      </c>
      <c r="AQ32" s="212" t="s">
        <v>74</v>
      </c>
      <c r="AR32" s="213" t="str">
        <f>$AR$4</f>
        <v>DNFin</v>
      </c>
      <c r="AS32" s="212" t="s">
        <v>75</v>
      </c>
      <c r="AT32" s="213" t="str">
        <f>$AT$4</f>
        <v>DEquipRef</v>
      </c>
      <c r="AU32" s="212" t="s">
        <v>313</v>
      </c>
      <c r="AV32" s="212" t="s">
        <v>305</v>
      </c>
      <c r="AW32" s="214" t="s">
        <v>314</v>
      </c>
      <c r="AZ32" s="210"/>
      <c r="BA32" s="210"/>
      <c r="BB32" s="210"/>
      <c r="BC32" s="9"/>
      <c r="BD32" s="9"/>
      <c r="BF32" s="9"/>
      <c r="BG32" s="9"/>
    </row>
    <row r="33" spans="2:59" x14ac:dyDescent="0.2">
      <c r="B33" s="9"/>
      <c r="C33" s="9"/>
      <c r="D33" s="9"/>
      <c r="E33" s="9"/>
      <c r="F33" s="9"/>
      <c r="G33" s="9"/>
      <c r="H33" s="9"/>
      <c r="J33" s="1"/>
      <c r="M33" s="1"/>
      <c r="N33" s="1"/>
      <c r="Q33" s="1"/>
      <c r="V33" s="1"/>
      <c r="Y33" s="1"/>
      <c r="Z33" s="1"/>
      <c r="AC33" s="1"/>
      <c r="AH33" s="215">
        <v>1</v>
      </c>
      <c r="AI33" s="36" t="e">
        <f>DGET($AH$4:$AW$31,"MPDébut",AH32:AH33)</f>
        <v>#VALUE!</v>
      </c>
      <c r="AJ33" s="36">
        <f>AH33</f>
        <v>1</v>
      </c>
      <c r="AK33" s="36" t="e">
        <f>DGET($AH$4:$AW$31,"MPFin",$AJ32:$AJ33)</f>
        <v>#VALUE!</v>
      </c>
      <c r="AL33" s="36">
        <f>AJ33</f>
        <v>1</v>
      </c>
      <c r="AM33" s="216">
        <f>DMAX($AH$4:$AW$31,"ML",$AL32:$AL33)</f>
        <v>0</v>
      </c>
      <c r="AN33" s="36">
        <f>DMAX($AH$4:$AW$31,"MT2ref",$AL32:$AL33)</f>
        <v>0</v>
      </c>
      <c r="AO33" s="36">
        <f>DMAX($AH$4:$AW$31,"MV",$AL32:$AL33)</f>
        <v>0</v>
      </c>
      <c r="AP33" s="36">
        <v>1</v>
      </c>
      <c r="AQ33" s="36" t="e">
        <f>DGET($AH$4:$AW$31,"DPDébut",AP32:AP33)</f>
        <v>#VALUE!</v>
      </c>
      <c r="AR33" s="36">
        <f>AP33</f>
        <v>1</v>
      </c>
      <c r="AS33" s="36" t="e">
        <f>DGET($AH$4:$AW$31,"DPFin",AR32:AR33)</f>
        <v>#VALUE!</v>
      </c>
      <c r="AT33" s="36">
        <f>AR33</f>
        <v>1</v>
      </c>
      <c r="AU33" s="216">
        <f>DMAX($AH$4:$AW$31,"DL",$AT32:$AT33)</f>
        <v>0</v>
      </c>
      <c r="AV33" s="36">
        <f>DMAX($AH$4:$AW$31,"DT2ref",$AT32:$AT33)</f>
        <v>0</v>
      </c>
      <c r="AW33" s="217">
        <f>DMAX($AH$4:$AW$31,"DV",$AT32:$AT33)</f>
        <v>0</v>
      </c>
      <c r="AZ33" s="210"/>
      <c r="BA33" s="210"/>
      <c r="BB33" s="210"/>
      <c r="BC33" s="9"/>
      <c r="BD33" s="9"/>
      <c r="BF33" s="9"/>
      <c r="BG33" s="9"/>
    </row>
    <row r="34" spans="2:59" x14ac:dyDescent="0.2">
      <c r="B34" s="9"/>
      <c r="C34" s="9"/>
      <c r="D34" s="9"/>
      <c r="E34" s="9"/>
      <c r="F34" s="9"/>
      <c r="G34" s="9"/>
      <c r="H34" s="9"/>
      <c r="AH34" s="219" t="str">
        <f>$AH$4</f>
        <v>MNDébut</v>
      </c>
      <c r="AI34" s="218" t="s">
        <v>74</v>
      </c>
      <c r="AJ34" s="220" t="str">
        <f>$AJ$4</f>
        <v>MNFin</v>
      </c>
      <c r="AK34" s="218" t="s">
        <v>75</v>
      </c>
      <c r="AL34" s="218" t="s">
        <v>80</v>
      </c>
      <c r="AM34" s="218" t="s">
        <v>311</v>
      </c>
      <c r="AN34" s="218" t="s">
        <v>304</v>
      </c>
      <c r="AO34" s="218" t="s">
        <v>312</v>
      </c>
      <c r="AP34" s="220" t="str">
        <f>$AP$4</f>
        <v>DNDébut</v>
      </c>
      <c r="AQ34" s="218" t="s">
        <v>74</v>
      </c>
      <c r="AR34" s="220" t="str">
        <f>$AR$4</f>
        <v>DNFin</v>
      </c>
      <c r="AS34" s="218" t="s">
        <v>75</v>
      </c>
      <c r="AT34" s="220" t="str">
        <f>$AT$4</f>
        <v>DEquipRef</v>
      </c>
      <c r="AU34" s="218" t="s">
        <v>313</v>
      </c>
      <c r="AV34" s="218" t="s">
        <v>305</v>
      </c>
      <c r="AW34" s="221" t="s">
        <v>314</v>
      </c>
      <c r="AZ34" s="210"/>
      <c r="BA34" s="210"/>
      <c r="BB34" s="210"/>
      <c r="BC34" s="9"/>
      <c r="BD34" s="9"/>
      <c r="BF34" s="9"/>
      <c r="BG34" s="9"/>
    </row>
    <row r="35" spans="2:59" x14ac:dyDescent="0.2">
      <c r="B35" s="9"/>
      <c r="C35" s="9"/>
      <c r="D35" s="9"/>
      <c r="E35" s="9"/>
      <c r="F35" s="9"/>
      <c r="G35" s="9"/>
      <c r="H35" s="9"/>
      <c r="AH35" s="215">
        <v>2</v>
      </c>
      <c r="AI35" s="36" t="e">
        <f>DGET($AH$4:$AW$31,"MPDébut",AH34:AH35)</f>
        <v>#VALUE!</v>
      </c>
      <c r="AJ35" s="36">
        <f>AH35</f>
        <v>2</v>
      </c>
      <c r="AK35" s="36" t="e">
        <f>DGET($AH$4:$AW$31,"MPFin",AJ34:AJ35)</f>
        <v>#VALUE!</v>
      </c>
      <c r="AL35" s="36">
        <f>AJ35</f>
        <v>2</v>
      </c>
      <c r="AM35" s="216">
        <f>DMAX($AH$4:$AW$31,"ML",$AL34:$AL35)</f>
        <v>0</v>
      </c>
      <c r="AN35" s="36">
        <f>DMAX($AH$4:$AW$31,"MT2ref",$AL34:$AL35)</f>
        <v>0</v>
      </c>
      <c r="AO35" s="36">
        <f>DMAX($AH$4:$AW$31,"MV",$AL34:$AL35)</f>
        <v>0</v>
      </c>
      <c r="AP35" s="36">
        <v>2</v>
      </c>
      <c r="AQ35" s="36" t="e">
        <f>DGET($AH$4:$AW$31,"DPDébut",AP34:AP35)</f>
        <v>#VALUE!</v>
      </c>
      <c r="AR35" s="36">
        <f>AP35</f>
        <v>2</v>
      </c>
      <c r="AS35" s="36" t="e">
        <f>DGET($AH$4:$AW$31,"DPFin",AR34:AR35)</f>
        <v>#VALUE!</v>
      </c>
      <c r="AT35" s="36">
        <f>AR35</f>
        <v>2</v>
      </c>
      <c r="AU35" s="216">
        <f>DMAX($AH$4:$AW$31,"DL",$AT34:$AT35)</f>
        <v>0</v>
      </c>
      <c r="AV35" s="36">
        <f>DMAX($AH$4:$AW$31,"DT2ref",$AT34:$AT35)</f>
        <v>0</v>
      </c>
      <c r="AW35" s="217">
        <f>DMAX($AH$4:$AW$31,"DV",$AT34:$AT35)</f>
        <v>0</v>
      </c>
      <c r="AZ35" s="210"/>
      <c r="BA35" s="210"/>
      <c r="BB35" s="210"/>
      <c r="BC35" s="9"/>
      <c r="BD35" s="9"/>
      <c r="BF35" s="9"/>
      <c r="BG35" s="9"/>
    </row>
    <row r="36" spans="2:59" x14ac:dyDescent="0.2">
      <c r="B36" s="9"/>
      <c r="C36" s="9"/>
      <c r="D36" s="9"/>
      <c r="E36" s="9"/>
      <c r="F36" s="9"/>
      <c r="G36" s="9"/>
      <c r="H36" s="9"/>
      <c r="AH36" s="219" t="str">
        <f>$AH$4</f>
        <v>MNDébut</v>
      </c>
      <c r="AI36" s="218" t="s">
        <v>74</v>
      </c>
      <c r="AJ36" s="220" t="str">
        <f>$AJ$4</f>
        <v>MNFin</v>
      </c>
      <c r="AK36" s="218" t="s">
        <v>75</v>
      </c>
      <c r="AL36" s="218" t="s">
        <v>80</v>
      </c>
      <c r="AM36" s="218" t="s">
        <v>311</v>
      </c>
      <c r="AN36" s="218" t="s">
        <v>304</v>
      </c>
      <c r="AO36" s="218" t="s">
        <v>312</v>
      </c>
      <c r="AP36" s="220" t="str">
        <f>$AP$4</f>
        <v>DNDébut</v>
      </c>
      <c r="AQ36" s="218" t="s">
        <v>74</v>
      </c>
      <c r="AR36" s="220" t="str">
        <f>$AR$4</f>
        <v>DNFin</v>
      </c>
      <c r="AS36" s="218" t="s">
        <v>75</v>
      </c>
      <c r="AT36" s="220" t="str">
        <f>$AT$4</f>
        <v>DEquipRef</v>
      </c>
      <c r="AU36" s="218" t="s">
        <v>313</v>
      </c>
      <c r="AV36" s="218" t="s">
        <v>305</v>
      </c>
      <c r="AW36" s="221" t="s">
        <v>314</v>
      </c>
      <c r="AZ36" s="210"/>
      <c r="BA36" s="210"/>
      <c r="BB36" s="210"/>
      <c r="BC36" s="9"/>
      <c r="BD36" s="9"/>
      <c r="BF36" s="9"/>
      <c r="BG36" s="9"/>
    </row>
    <row r="37" spans="2:59" x14ac:dyDescent="0.2">
      <c r="B37" s="9"/>
      <c r="C37" s="9"/>
      <c r="D37" s="9"/>
      <c r="E37" s="9"/>
      <c r="F37" s="9"/>
      <c r="G37" s="9"/>
      <c r="H37" s="9"/>
      <c r="AH37" s="215">
        <v>3</v>
      </c>
      <c r="AI37" s="36" t="e">
        <f>DGET($AH$4:$AW$31,"MPDébut",AH36:AH37)</f>
        <v>#VALUE!</v>
      </c>
      <c r="AJ37" s="36">
        <f>AH37</f>
        <v>3</v>
      </c>
      <c r="AK37" s="36" t="e">
        <f>DGET($AH$4:$AW$31,"MPFin",AJ36:AJ37)</f>
        <v>#VALUE!</v>
      </c>
      <c r="AL37" s="36">
        <f>AJ37</f>
        <v>3</v>
      </c>
      <c r="AM37" s="216">
        <f>DMAX($AH$4:$AW$31,"ML",$AL36:$AL37)</f>
        <v>0</v>
      </c>
      <c r="AN37" s="36">
        <f>DMAX($AH$4:$AW$31,"MT2ref",$AL36:$AL37)</f>
        <v>0</v>
      </c>
      <c r="AO37" s="36">
        <f>DMAX($AH$4:$AW$31,"MV",$AL36:$AL37)</f>
        <v>0</v>
      </c>
      <c r="AP37" s="36">
        <v>3</v>
      </c>
      <c r="AQ37" s="36" t="e">
        <f>DGET($AH$4:$AW$31,"DPDébut",AP36:AP37)</f>
        <v>#VALUE!</v>
      </c>
      <c r="AR37" s="36">
        <f>AP37</f>
        <v>3</v>
      </c>
      <c r="AS37" s="36" t="e">
        <f>DGET($AH$4:$AW$31,"DPFin",AR36:AR37)</f>
        <v>#VALUE!</v>
      </c>
      <c r="AT37" s="36">
        <f>AR37</f>
        <v>3</v>
      </c>
      <c r="AU37" s="216">
        <f>DMAX($AH$4:$AW$31,"DL",$AT36:$AT37)</f>
        <v>0</v>
      </c>
      <c r="AV37" s="36">
        <f>DMAX($AH$4:$AW$31,"DT2ref",$AT36:$AT37)</f>
        <v>0</v>
      </c>
      <c r="AW37" s="217">
        <f>DMAX($AH$4:$AW$31,"DV",$AT36:$AT37)</f>
        <v>0</v>
      </c>
      <c r="AZ37" s="210"/>
      <c r="BA37" s="210"/>
      <c r="BB37" s="210"/>
      <c r="BC37" s="9"/>
      <c r="BD37" s="9"/>
      <c r="BF37" s="9"/>
      <c r="BG37" s="9"/>
    </row>
    <row r="38" spans="2:59" x14ac:dyDescent="0.2">
      <c r="B38" s="9"/>
      <c r="C38" s="9"/>
      <c r="D38" s="9"/>
      <c r="E38" s="9"/>
      <c r="F38" s="9"/>
      <c r="G38" s="9"/>
      <c r="H38" s="9"/>
      <c r="AH38" s="219" t="str">
        <f>$AH$4</f>
        <v>MNDébut</v>
      </c>
      <c r="AI38" s="218" t="s">
        <v>74</v>
      </c>
      <c r="AJ38" s="220" t="str">
        <f>$AJ$4</f>
        <v>MNFin</v>
      </c>
      <c r="AK38" s="218" t="s">
        <v>75</v>
      </c>
      <c r="AL38" s="218" t="s">
        <v>80</v>
      </c>
      <c r="AM38" s="218" t="s">
        <v>311</v>
      </c>
      <c r="AN38" s="218" t="s">
        <v>304</v>
      </c>
      <c r="AO38" s="218" t="s">
        <v>312</v>
      </c>
      <c r="AP38" s="220" t="str">
        <f>$AP$4</f>
        <v>DNDébut</v>
      </c>
      <c r="AQ38" s="218" t="s">
        <v>74</v>
      </c>
      <c r="AR38" s="220" t="str">
        <f>$AR$4</f>
        <v>DNFin</v>
      </c>
      <c r="AS38" s="218" t="s">
        <v>75</v>
      </c>
      <c r="AT38" s="220" t="str">
        <f>$AT$4</f>
        <v>DEquipRef</v>
      </c>
      <c r="AU38" s="218" t="s">
        <v>313</v>
      </c>
      <c r="AV38" s="218" t="s">
        <v>305</v>
      </c>
      <c r="AW38" s="221" t="s">
        <v>314</v>
      </c>
      <c r="AZ38" s="210"/>
      <c r="BA38" s="210"/>
      <c r="BB38" s="210"/>
      <c r="BC38" s="9"/>
      <c r="BD38" s="9"/>
      <c r="BF38" s="9"/>
      <c r="BG38" s="9"/>
    </row>
    <row r="39" spans="2:59" x14ac:dyDescent="0.2">
      <c r="B39" s="9"/>
      <c r="C39" s="9"/>
      <c r="D39" s="9"/>
      <c r="E39" s="9"/>
      <c r="F39" s="9"/>
      <c r="G39" s="9"/>
      <c r="H39" s="9"/>
      <c r="AH39" s="215">
        <v>4</v>
      </c>
      <c r="AI39" s="36" t="e">
        <f>DGET($AH$4:$AW$31,"MPDébut",AH38:AH39)</f>
        <v>#VALUE!</v>
      </c>
      <c r="AJ39" s="36">
        <f>AH39</f>
        <v>4</v>
      </c>
      <c r="AK39" s="36" t="e">
        <f>DGET($AH$4:$AW$31,"MPFin",AJ38:AJ39)</f>
        <v>#VALUE!</v>
      </c>
      <c r="AL39" s="36">
        <f>AJ39</f>
        <v>4</v>
      </c>
      <c r="AM39" s="216">
        <f>DMAX($AH$4:$AW$31,"ML",$AL38:$AL39)</f>
        <v>0</v>
      </c>
      <c r="AN39" s="36">
        <f>DMAX($AH$4:$AW$31,"MT2ref",$AL38:$AL39)</f>
        <v>0</v>
      </c>
      <c r="AO39" s="36">
        <f>DMAX($AH$4:$AW$31,"MV",$AL38:$AL39)</f>
        <v>0</v>
      </c>
      <c r="AP39" s="36">
        <v>4</v>
      </c>
      <c r="AQ39" s="36" t="e">
        <f>DGET($AH$4:$AW$31,"DPDébut",AP38:AP39)</f>
        <v>#VALUE!</v>
      </c>
      <c r="AR39" s="36">
        <f>AP39</f>
        <v>4</v>
      </c>
      <c r="AS39" s="36" t="e">
        <f>DGET($AH$4:$AW$31,"DPFin",AR38:AR39)</f>
        <v>#VALUE!</v>
      </c>
      <c r="AT39" s="36">
        <f>AR39</f>
        <v>4</v>
      </c>
      <c r="AU39" s="216">
        <f>DMAX($AH$4:$AW$31,"DL",$AT38:$AT39)</f>
        <v>0</v>
      </c>
      <c r="AV39" s="36">
        <f>DMAX($AH$4:$AW$31,"DT2ref",$AT38:$AT39)</f>
        <v>0</v>
      </c>
      <c r="AW39" s="217">
        <f>DMAX($AH$4:$AW$31,"DV",$AT38:$AT39)</f>
        <v>0</v>
      </c>
      <c r="AZ39" s="210"/>
      <c r="BA39" s="210"/>
      <c r="BB39" s="210"/>
      <c r="BC39" s="9"/>
      <c r="BD39" s="9"/>
      <c r="BF39" s="9"/>
      <c r="BG39" s="9"/>
    </row>
    <row r="40" spans="2:59" x14ac:dyDescent="0.2">
      <c r="B40" s="9"/>
      <c r="C40" s="9"/>
      <c r="D40" s="9"/>
      <c r="E40" s="9"/>
      <c r="F40" s="9"/>
      <c r="G40" s="9"/>
      <c r="H40" s="9"/>
      <c r="AH40" s="219" t="str">
        <f>$AH$4</f>
        <v>MNDébut</v>
      </c>
      <c r="AI40" s="218" t="s">
        <v>74</v>
      </c>
      <c r="AJ40" s="220" t="str">
        <f>$AJ$4</f>
        <v>MNFin</v>
      </c>
      <c r="AK40" s="218" t="s">
        <v>75</v>
      </c>
      <c r="AL40" s="218" t="s">
        <v>80</v>
      </c>
      <c r="AM40" s="218" t="s">
        <v>311</v>
      </c>
      <c r="AN40" s="218" t="s">
        <v>304</v>
      </c>
      <c r="AO40" s="218" t="s">
        <v>312</v>
      </c>
      <c r="AP40" s="220" t="str">
        <f>$AP$4</f>
        <v>DNDébut</v>
      </c>
      <c r="AQ40" s="218" t="s">
        <v>74</v>
      </c>
      <c r="AR40" s="220" t="str">
        <f>$AR$4</f>
        <v>DNFin</v>
      </c>
      <c r="AS40" s="218" t="s">
        <v>75</v>
      </c>
      <c r="AT40" s="220" t="str">
        <f>$AT$4</f>
        <v>DEquipRef</v>
      </c>
      <c r="AU40" s="218" t="s">
        <v>313</v>
      </c>
      <c r="AV40" s="218" t="s">
        <v>305</v>
      </c>
      <c r="AW40" s="221" t="s">
        <v>314</v>
      </c>
      <c r="AZ40" s="210"/>
      <c r="BA40" s="210"/>
      <c r="BB40" s="210"/>
      <c r="BC40" s="9"/>
      <c r="BD40" s="9"/>
      <c r="BF40" s="9"/>
      <c r="BG40" s="9"/>
    </row>
    <row r="41" spans="2:59" x14ac:dyDescent="0.2">
      <c r="B41" s="9"/>
      <c r="C41" s="9"/>
      <c r="D41" s="9"/>
      <c r="E41" s="9"/>
      <c r="F41" s="9"/>
      <c r="G41" s="9"/>
      <c r="H41" s="9"/>
      <c r="AH41" s="215">
        <v>5</v>
      </c>
      <c r="AI41" s="36" t="e">
        <f>DGET($AH$4:$AW$31,"MPDébut",AH40:AH41)</f>
        <v>#VALUE!</v>
      </c>
      <c r="AJ41" s="36">
        <f>AH41</f>
        <v>5</v>
      </c>
      <c r="AK41" s="36" t="e">
        <f>DGET($AH$4:$AW$31,"MPFin",AJ40:AJ41)</f>
        <v>#VALUE!</v>
      </c>
      <c r="AL41" s="36">
        <f>AJ41</f>
        <v>5</v>
      </c>
      <c r="AM41" s="216">
        <f>DMAX($AH$4:$AW$31,"ML",$AL40:$AL41)</f>
        <v>0</v>
      </c>
      <c r="AN41" s="36">
        <f>DMAX($AH$4:$AW$31,"MT2ref",$AL40:$AL41)</f>
        <v>0</v>
      </c>
      <c r="AO41" s="36">
        <f>DMAX($AH$4:$AW$31,"MV",$AL40:$AL41)</f>
        <v>0</v>
      </c>
      <c r="AP41" s="36">
        <v>5</v>
      </c>
      <c r="AQ41" s="36" t="e">
        <f>DGET($AH$4:$AW$31,"DPDébut",AP40:AP41)</f>
        <v>#VALUE!</v>
      </c>
      <c r="AR41" s="36">
        <f>AP41</f>
        <v>5</v>
      </c>
      <c r="AS41" s="36" t="e">
        <f>DGET($AH$4:$AW$31,"DPFin",AR40:AR41)</f>
        <v>#VALUE!</v>
      </c>
      <c r="AT41" s="36">
        <f>AR41</f>
        <v>5</v>
      </c>
      <c r="AU41" s="216">
        <f>DMAX($AH$4:$AW$31,"DL",$AT40:$AT41)</f>
        <v>0</v>
      </c>
      <c r="AV41" s="36">
        <f>DMAX($AH$4:$AW$31,"DT2ref",$AT40:$AT41)</f>
        <v>0</v>
      </c>
      <c r="AW41" s="217">
        <f>DMAX($AH$4:$AW$31,"DV",$AT40:$AT41)</f>
        <v>0</v>
      </c>
      <c r="AZ41" s="210"/>
      <c r="BA41" s="210"/>
      <c r="BB41" s="210"/>
      <c r="BC41" s="9"/>
      <c r="BD41" s="9"/>
      <c r="BF41" s="9"/>
      <c r="BG41" s="9"/>
    </row>
    <row r="42" spans="2:59" x14ac:dyDescent="0.2">
      <c r="B42" s="9"/>
      <c r="C42" s="9"/>
      <c r="D42" s="9"/>
      <c r="E42" s="9"/>
      <c r="F42" s="9"/>
      <c r="G42" s="9"/>
      <c r="H42" s="9"/>
      <c r="AH42" s="219" t="str">
        <f>$AH$4</f>
        <v>MNDébut</v>
      </c>
      <c r="AI42" s="218" t="s">
        <v>74</v>
      </c>
      <c r="AJ42" s="220" t="str">
        <f>$AJ$4</f>
        <v>MNFin</v>
      </c>
      <c r="AK42" s="218" t="s">
        <v>75</v>
      </c>
      <c r="AL42" s="218" t="s">
        <v>80</v>
      </c>
      <c r="AM42" s="218" t="s">
        <v>311</v>
      </c>
      <c r="AN42" s="218" t="s">
        <v>304</v>
      </c>
      <c r="AO42" s="218" t="s">
        <v>312</v>
      </c>
      <c r="AP42" s="220" t="str">
        <f>$AP$4</f>
        <v>DNDébut</v>
      </c>
      <c r="AQ42" s="218" t="s">
        <v>74</v>
      </c>
      <c r="AR42" s="220" t="str">
        <f>$AR$4</f>
        <v>DNFin</v>
      </c>
      <c r="AS42" s="218" t="s">
        <v>75</v>
      </c>
      <c r="AT42" s="220" t="str">
        <f>$AT$4</f>
        <v>DEquipRef</v>
      </c>
      <c r="AU42" s="218" t="s">
        <v>313</v>
      </c>
      <c r="AV42" s="218" t="s">
        <v>305</v>
      </c>
      <c r="AW42" s="221" t="s">
        <v>314</v>
      </c>
      <c r="AZ42" s="210"/>
      <c r="BA42" s="210"/>
      <c r="BB42" s="210"/>
      <c r="BC42" s="9"/>
      <c r="BD42" s="9"/>
      <c r="BF42" s="9"/>
      <c r="BG42" s="9"/>
    </row>
    <row r="43" spans="2:59" x14ac:dyDescent="0.2">
      <c r="B43" s="9"/>
      <c r="C43" s="9"/>
      <c r="D43" s="9"/>
      <c r="E43" s="9"/>
      <c r="F43" s="9"/>
      <c r="G43" s="9"/>
      <c r="H43" s="9"/>
      <c r="AH43" s="215">
        <v>6</v>
      </c>
      <c r="AI43" s="36" t="e">
        <f>DGET($AH$4:$AW$31,"MPDébut",AH42:AH43)</f>
        <v>#VALUE!</v>
      </c>
      <c r="AJ43" s="36">
        <f>AH43</f>
        <v>6</v>
      </c>
      <c r="AK43" s="36" t="e">
        <f>DGET($AH$4:$AW$31,"MPFin",AJ42:AJ43)</f>
        <v>#VALUE!</v>
      </c>
      <c r="AL43" s="36">
        <f>AJ43</f>
        <v>6</v>
      </c>
      <c r="AM43" s="216">
        <f>DMAX($AH$4:$AW$31,"ML",$AL42:$AL43)</f>
        <v>0</v>
      </c>
      <c r="AN43" s="36">
        <f>DMAX($AH$4:$AW$31,"MT2ref",$AL42:$AL43)</f>
        <v>0</v>
      </c>
      <c r="AO43" s="36">
        <f>DMAX($AH$4:$AW$31,"MV",$AL42:$AL43)</f>
        <v>0</v>
      </c>
      <c r="AP43" s="36">
        <v>6</v>
      </c>
      <c r="AQ43" s="36" t="e">
        <f>DGET($AH$4:$AW$31,"DPDébut",AP42:AP43)</f>
        <v>#VALUE!</v>
      </c>
      <c r="AR43" s="36">
        <f>AP43</f>
        <v>6</v>
      </c>
      <c r="AS43" s="36" t="e">
        <f>DGET($AH$4:$AW$31,"DPFin",AR42:AR43)</f>
        <v>#VALUE!</v>
      </c>
      <c r="AT43" s="36">
        <f>AR43</f>
        <v>6</v>
      </c>
      <c r="AU43" s="216">
        <f>DMAX($AH$4:$AW$31,"DL",$AT42:$AT43)</f>
        <v>0</v>
      </c>
      <c r="AV43" s="36">
        <f>DMAX($AH$4:$AW$31,"DT2ref",$AT42:$AT43)</f>
        <v>0</v>
      </c>
      <c r="AW43" s="217">
        <f>DMAX($AH$4:$AW$31,"DV",$AT42:$AT43)</f>
        <v>0</v>
      </c>
      <c r="AZ43" s="210"/>
      <c r="BA43" s="210"/>
      <c r="BB43" s="210"/>
      <c r="BC43" s="9"/>
      <c r="BD43" s="9"/>
      <c r="BF43" s="9"/>
      <c r="BG43" s="9"/>
    </row>
    <row r="44" spans="2:59" x14ac:dyDescent="0.2">
      <c r="B44" s="9"/>
      <c r="C44" s="9"/>
      <c r="D44" s="9"/>
      <c r="E44" s="9"/>
      <c r="F44" s="9"/>
      <c r="G44" s="9"/>
      <c r="H44" s="9"/>
      <c r="AH44" s="219" t="str">
        <f>$AH$4</f>
        <v>MNDébut</v>
      </c>
      <c r="AI44" s="218" t="s">
        <v>74</v>
      </c>
      <c r="AJ44" s="220" t="str">
        <f>$AJ$4</f>
        <v>MNFin</v>
      </c>
      <c r="AK44" s="218" t="s">
        <v>75</v>
      </c>
      <c r="AL44" s="218" t="s">
        <v>80</v>
      </c>
      <c r="AM44" s="218" t="s">
        <v>311</v>
      </c>
      <c r="AN44" s="218" t="s">
        <v>304</v>
      </c>
      <c r="AO44" s="218" t="s">
        <v>312</v>
      </c>
      <c r="AP44" s="220" t="str">
        <f>$AP$4</f>
        <v>DNDébut</v>
      </c>
      <c r="AQ44" s="218" t="s">
        <v>74</v>
      </c>
      <c r="AR44" s="220" t="str">
        <f>$AR$4</f>
        <v>DNFin</v>
      </c>
      <c r="AS44" s="218" t="s">
        <v>75</v>
      </c>
      <c r="AT44" s="220" t="str">
        <f>$AT$4</f>
        <v>DEquipRef</v>
      </c>
      <c r="AU44" s="218" t="s">
        <v>313</v>
      </c>
      <c r="AV44" s="218" t="s">
        <v>305</v>
      </c>
      <c r="AW44" s="221" t="s">
        <v>314</v>
      </c>
      <c r="AZ44" s="210"/>
      <c r="BA44" s="210"/>
      <c r="BB44" s="210"/>
      <c r="BC44" s="9"/>
      <c r="BD44" s="9"/>
      <c r="BF44" s="9"/>
      <c r="BG44" s="9"/>
    </row>
    <row r="45" spans="2:59" x14ac:dyDescent="0.2">
      <c r="B45" s="9"/>
      <c r="C45" s="9"/>
      <c r="D45" s="9"/>
      <c r="E45" s="9"/>
      <c r="F45" s="9"/>
      <c r="G45" s="9"/>
      <c r="H45" s="9"/>
      <c r="AH45" s="215">
        <v>7</v>
      </c>
      <c r="AI45" s="36" t="e">
        <f>DGET($AH$4:$AW$31,"MPDébut",AH44:AH45)</f>
        <v>#VALUE!</v>
      </c>
      <c r="AJ45" s="36">
        <f>AH45</f>
        <v>7</v>
      </c>
      <c r="AK45" s="36" t="e">
        <f>DGET($AH$4:$AW$31,"MPFin",AJ44:AJ45)</f>
        <v>#VALUE!</v>
      </c>
      <c r="AL45" s="36">
        <f>AJ45</f>
        <v>7</v>
      </c>
      <c r="AM45" s="216">
        <f>DMAX($AH$4:$AW$31,"ML",$AL44:$AL45)</f>
        <v>0</v>
      </c>
      <c r="AN45" s="36">
        <f>DMAX($AH$4:$AW$31,"MT2ref",$AL44:$AL45)</f>
        <v>0</v>
      </c>
      <c r="AO45" s="36">
        <f>DMAX($AH$4:$AW$31,"MV",$AL44:$AL45)</f>
        <v>0</v>
      </c>
      <c r="AP45" s="36">
        <v>7</v>
      </c>
      <c r="AQ45" s="36" t="e">
        <f>DGET($AH$4:$AW$31,"DPDébut",AP44:AP45)</f>
        <v>#VALUE!</v>
      </c>
      <c r="AR45" s="36">
        <f>AP45</f>
        <v>7</v>
      </c>
      <c r="AS45" s="36" t="e">
        <f>DGET($AH$4:$AW$31,"DPFin",AR44:AR45)</f>
        <v>#VALUE!</v>
      </c>
      <c r="AT45" s="36">
        <f>AR45</f>
        <v>7</v>
      </c>
      <c r="AU45" s="216">
        <f>DMAX($AH$4:$AW$31,"DL",$AT44:$AT45)</f>
        <v>0</v>
      </c>
      <c r="AV45" s="36">
        <f>DMAX($AH$4:$AW$31,"DT2ref",$AT44:$AT45)</f>
        <v>0</v>
      </c>
      <c r="AW45" s="217">
        <f>DMAX($AH$4:$AW$31,"DV",$AT44:$AT45)</f>
        <v>0</v>
      </c>
      <c r="AZ45" s="210"/>
      <c r="BA45" s="210"/>
      <c r="BB45" s="210"/>
      <c r="BC45" s="9"/>
      <c r="BD45" s="9"/>
      <c r="BF45" s="9"/>
      <c r="BG45" s="9"/>
    </row>
    <row r="46" spans="2:59" x14ac:dyDescent="0.2">
      <c r="B46" s="9"/>
      <c r="C46" s="9"/>
      <c r="D46" s="9"/>
      <c r="E46" s="9"/>
      <c r="F46" s="9"/>
      <c r="G46" s="9"/>
      <c r="H46" s="9"/>
      <c r="AH46" s="219" t="str">
        <f>$AH$4</f>
        <v>MNDébut</v>
      </c>
      <c r="AI46" s="218" t="s">
        <v>74</v>
      </c>
      <c r="AJ46" s="220" t="str">
        <f>$AJ$4</f>
        <v>MNFin</v>
      </c>
      <c r="AK46" s="218" t="s">
        <v>75</v>
      </c>
      <c r="AL46" s="218" t="s">
        <v>80</v>
      </c>
      <c r="AM46" s="218" t="s">
        <v>311</v>
      </c>
      <c r="AN46" s="218" t="s">
        <v>304</v>
      </c>
      <c r="AO46" s="218" t="s">
        <v>312</v>
      </c>
      <c r="AP46" s="220" t="str">
        <f>$AP$4</f>
        <v>DNDébut</v>
      </c>
      <c r="AQ46" s="218" t="s">
        <v>74</v>
      </c>
      <c r="AR46" s="220" t="str">
        <f>$AR$4</f>
        <v>DNFin</v>
      </c>
      <c r="AS46" s="218" t="s">
        <v>75</v>
      </c>
      <c r="AT46" s="220" t="str">
        <f>$AT$4</f>
        <v>DEquipRef</v>
      </c>
      <c r="AU46" s="218" t="s">
        <v>313</v>
      </c>
      <c r="AV46" s="218" t="s">
        <v>305</v>
      </c>
      <c r="AW46" s="221" t="s">
        <v>314</v>
      </c>
      <c r="AZ46" s="210"/>
      <c r="BA46" s="210"/>
      <c r="BB46" s="210"/>
      <c r="BC46" s="9"/>
      <c r="BD46" s="9"/>
      <c r="BF46" s="9"/>
      <c r="BG46" s="9"/>
    </row>
    <row r="47" spans="2:59" x14ac:dyDescent="0.2">
      <c r="B47" s="9"/>
      <c r="C47" s="9"/>
      <c r="D47" s="9"/>
      <c r="E47" s="9"/>
      <c r="F47" s="9"/>
      <c r="G47" s="9"/>
      <c r="H47" s="9"/>
      <c r="AH47" s="215">
        <v>8</v>
      </c>
      <c r="AI47" s="36" t="e">
        <f>DGET($AH$4:$AW$31,"MPDébut",AH46:AH47)</f>
        <v>#VALUE!</v>
      </c>
      <c r="AJ47" s="36">
        <f>AH47</f>
        <v>8</v>
      </c>
      <c r="AK47" s="36" t="e">
        <f>DGET($AH$4:$AW$31,"MPFin",AJ46:AJ47)</f>
        <v>#VALUE!</v>
      </c>
      <c r="AL47" s="36">
        <f>AJ47</f>
        <v>8</v>
      </c>
      <c r="AM47" s="216">
        <f>DMAX($AH$4:$AW$31,"ML",$AL46:$AL47)</f>
        <v>0</v>
      </c>
      <c r="AN47" s="36">
        <f>DMAX($AH$4:$AW$31,"MT2ref",$AL46:$AL47)</f>
        <v>0</v>
      </c>
      <c r="AO47" s="36">
        <f>DMAX($AH$4:$AW$31,"MV",$AL46:$AL47)</f>
        <v>0</v>
      </c>
      <c r="AP47" s="36">
        <v>8</v>
      </c>
      <c r="AQ47" s="36" t="e">
        <f>DGET($AH$4:$AW$31,"DPDébut",AP46:AP47)</f>
        <v>#VALUE!</v>
      </c>
      <c r="AR47" s="36">
        <f>AP47</f>
        <v>8</v>
      </c>
      <c r="AS47" s="36" t="e">
        <f>DGET($AH$4:$AW$31,"DPFin",AR46:AR47)</f>
        <v>#VALUE!</v>
      </c>
      <c r="AT47" s="36">
        <f>AR47</f>
        <v>8</v>
      </c>
      <c r="AU47" s="216">
        <f>DMAX($AH$4:$AW$31,"DL",$AT46:$AT47)</f>
        <v>0</v>
      </c>
      <c r="AV47" s="36">
        <f>DMAX($AH$4:$AW$31,"DT2ref",$AT46:$AT47)</f>
        <v>0</v>
      </c>
      <c r="AW47" s="217">
        <f>DMAX($AH$4:$AW$31,"DV",$AT46:$AT47)</f>
        <v>0</v>
      </c>
      <c r="AZ47" s="210"/>
      <c r="BA47" s="210"/>
      <c r="BB47" s="210"/>
      <c r="BC47" s="9"/>
      <c r="BD47" s="9"/>
      <c r="BF47" s="9"/>
      <c r="BG47" s="9"/>
    </row>
    <row r="48" spans="2:59" x14ac:dyDescent="0.2">
      <c r="B48" s="9"/>
      <c r="C48" s="9"/>
      <c r="D48" s="9"/>
      <c r="E48" s="9"/>
      <c r="F48" s="9"/>
      <c r="G48" s="9"/>
      <c r="H48" s="9"/>
      <c r="AH48" s="219" t="str">
        <f>$AH$4</f>
        <v>MNDébut</v>
      </c>
      <c r="AI48" s="218" t="s">
        <v>74</v>
      </c>
      <c r="AJ48" s="220" t="str">
        <f>$AJ$4</f>
        <v>MNFin</v>
      </c>
      <c r="AK48" s="218" t="s">
        <v>75</v>
      </c>
      <c r="AL48" s="218" t="s">
        <v>80</v>
      </c>
      <c r="AM48" s="218" t="s">
        <v>311</v>
      </c>
      <c r="AN48" s="218" t="s">
        <v>304</v>
      </c>
      <c r="AO48" s="218" t="s">
        <v>312</v>
      </c>
      <c r="AP48" s="220" t="str">
        <f>$AP$4</f>
        <v>DNDébut</v>
      </c>
      <c r="AQ48" s="218" t="s">
        <v>74</v>
      </c>
      <c r="AR48" s="220" t="str">
        <f>$AR$4</f>
        <v>DNFin</v>
      </c>
      <c r="AS48" s="218" t="s">
        <v>75</v>
      </c>
      <c r="AT48" s="220" t="str">
        <f>$AT$4</f>
        <v>DEquipRef</v>
      </c>
      <c r="AU48" s="218" t="s">
        <v>313</v>
      </c>
      <c r="AV48" s="218" t="s">
        <v>305</v>
      </c>
      <c r="AW48" s="221" t="s">
        <v>314</v>
      </c>
      <c r="AZ48" s="210"/>
      <c r="BA48" s="210"/>
      <c r="BB48" s="210"/>
      <c r="BC48" s="9"/>
      <c r="BD48" s="9"/>
      <c r="BF48" s="9"/>
      <c r="BG48" s="9"/>
    </row>
    <row r="49" spans="2:59" x14ac:dyDescent="0.2">
      <c r="B49" s="9"/>
      <c r="C49" s="9"/>
      <c r="D49" s="9"/>
      <c r="E49" s="9"/>
      <c r="F49" s="9"/>
      <c r="G49" s="9"/>
      <c r="H49" s="9"/>
      <c r="K49" s="9"/>
      <c r="L49" s="9"/>
      <c r="O49" s="9"/>
      <c r="P49" s="9"/>
      <c r="R49" s="9"/>
      <c r="S49" s="9"/>
      <c r="T49" s="9"/>
      <c r="W49" s="9"/>
      <c r="X49" s="9"/>
      <c r="AA49" s="9"/>
      <c r="AB49" s="9"/>
      <c r="AD49" s="9"/>
      <c r="AE49" s="9"/>
      <c r="AF49" s="9"/>
      <c r="AH49" s="215">
        <v>9</v>
      </c>
      <c r="AI49" s="36" t="e">
        <f>DGET($AH$4:$AW$31,"MPDébut",AH48:AH49)</f>
        <v>#VALUE!</v>
      </c>
      <c r="AJ49" s="36">
        <f>AH49</f>
        <v>9</v>
      </c>
      <c r="AK49" s="36" t="e">
        <f>DGET($AH$4:$AW$31,"MPFin",AJ48:AJ49)</f>
        <v>#VALUE!</v>
      </c>
      <c r="AL49" s="36">
        <f>AJ49</f>
        <v>9</v>
      </c>
      <c r="AM49" s="216">
        <f>DMAX($AH$4:$AW$31,"ML",$AL48:$AL49)</f>
        <v>0</v>
      </c>
      <c r="AN49" s="36">
        <f>DMAX($AH$4:$AW$31,"MT2ref",$AL48:$AL49)</f>
        <v>0</v>
      </c>
      <c r="AO49" s="36">
        <f>DMAX($AH$4:$AW$31,"MV",$AL48:$AL49)</f>
        <v>0</v>
      </c>
      <c r="AP49" s="36">
        <v>9</v>
      </c>
      <c r="AQ49" s="36" t="e">
        <f>DGET($AH$4:$AW$31,"DPDébut",AP48:AP49)</f>
        <v>#VALUE!</v>
      </c>
      <c r="AR49" s="36">
        <f>AP49</f>
        <v>9</v>
      </c>
      <c r="AS49" s="36" t="e">
        <f>DGET($AH$4:$AW$31,"DPFin",AR48:AR49)</f>
        <v>#VALUE!</v>
      </c>
      <c r="AT49" s="36">
        <f>AR49</f>
        <v>9</v>
      </c>
      <c r="AU49" s="216">
        <f>DMAX($AH$4:$AW$31,"DL",$AT48:$AT49)</f>
        <v>0</v>
      </c>
      <c r="AV49" s="36">
        <f>DMAX($AH$4:$AW$31,"DT2ref",$AT48:$AT49)</f>
        <v>0</v>
      </c>
      <c r="AW49" s="217">
        <f>DMAX($AH$4:$AW$31,"DV",$AT48:$AT49)</f>
        <v>0</v>
      </c>
      <c r="AZ49" s="210"/>
      <c r="BA49" s="210"/>
      <c r="BB49" s="210"/>
      <c r="BC49" s="9"/>
      <c r="BD49" s="9"/>
      <c r="BF49" s="9"/>
      <c r="BG49" s="9"/>
    </row>
    <row r="50" spans="2:59" x14ac:dyDescent="0.2">
      <c r="B50" s="9"/>
      <c r="C50" s="9"/>
      <c r="D50" s="9"/>
      <c r="E50" s="9"/>
      <c r="F50" s="9"/>
      <c r="G50" s="9"/>
      <c r="H50" s="9"/>
      <c r="K50" s="9"/>
      <c r="L50" s="9"/>
      <c r="O50" s="9"/>
      <c r="P50" s="9"/>
      <c r="R50" s="9"/>
      <c r="S50" s="9"/>
      <c r="T50" s="9"/>
      <c r="W50" s="9"/>
      <c r="X50" s="9"/>
      <c r="AA50" s="9"/>
      <c r="AB50" s="9"/>
      <c r="AD50" s="9"/>
      <c r="AE50" s="9"/>
      <c r="AF50" s="9"/>
      <c r="AH50" s="219" t="str">
        <f>$AH$4</f>
        <v>MNDébut</v>
      </c>
      <c r="AI50" s="218" t="s">
        <v>74</v>
      </c>
      <c r="AJ50" s="220" t="str">
        <f>$AJ$4</f>
        <v>MNFin</v>
      </c>
      <c r="AK50" s="218" t="s">
        <v>75</v>
      </c>
      <c r="AL50" s="218" t="s">
        <v>80</v>
      </c>
      <c r="AM50" s="218" t="s">
        <v>311</v>
      </c>
      <c r="AN50" s="218" t="s">
        <v>304</v>
      </c>
      <c r="AO50" s="218" t="s">
        <v>312</v>
      </c>
      <c r="AP50" s="220" t="str">
        <f>$AP$4</f>
        <v>DNDébut</v>
      </c>
      <c r="AQ50" s="218" t="s">
        <v>74</v>
      </c>
      <c r="AR50" s="220" t="str">
        <f>$AR$4</f>
        <v>DNFin</v>
      </c>
      <c r="AS50" s="218" t="s">
        <v>75</v>
      </c>
      <c r="AT50" s="220" t="str">
        <f>$AT$4</f>
        <v>DEquipRef</v>
      </c>
      <c r="AU50" s="218" t="s">
        <v>313</v>
      </c>
      <c r="AV50" s="218" t="s">
        <v>305</v>
      </c>
      <c r="AW50" s="221" t="s">
        <v>314</v>
      </c>
      <c r="AZ50" s="210"/>
      <c r="BA50" s="210"/>
      <c r="BB50" s="210"/>
      <c r="BC50" s="9"/>
      <c r="BD50" s="9"/>
      <c r="BF50" s="9"/>
      <c r="BG50" s="9"/>
    </row>
    <row r="51" spans="2:59" x14ac:dyDescent="0.2">
      <c r="B51" s="9"/>
      <c r="C51" s="9"/>
      <c r="D51" s="9"/>
      <c r="E51" s="9"/>
      <c r="F51" s="9"/>
      <c r="G51" s="9"/>
      <c r="H51" s="9"/>
      <c r="K51" s="9"/>
      <c r="L51" s="9"/>
      <c r="O51" s="9"/>
      <c r="P51" s="9"/>
      <c r="R51" s="9"/>
      <c r="S51" s="9"/>
      <c r="T51" s="9"/>
      <c r="W51" s="9"/>
      <c r="X51" s="9"/>
      <c r="AA51" s="9"/>
      <c r="AB51" s="9"/>
      <c r="AD51" s="9"/>
      <c r="AE51" s="9"/>
      <c r="AF51" s="9"/>
      <c r="AH51" s="215">
        <v>10</v>
      </c>
      <c r="AI51" s="36" t="e">
        <f>DGET($AH$4:$AW$31,"MPDébut",AH50:AH51)</f>
        <v>#VALUE!</v>
      </c>
      <c r="AJ51" s="36">
        <f>AH51</f>
        <v>10</v>
      </c>
      <c r="AK51" s="36" t="e">
        <f>DGET($AH$4:$AW$31,"MPFin",AJ50:AJ51)</f>
        <v>#VALUE!</v>
      </c>
      <c r="AL51" s="36">
        <f>AJ51</f>
        <v>10</v>
      </c>
      <c r="AM51" s="216">
        <f>DMAX($AH$4:$AW$31,"ML",$AL50:$AL51)</f>
        <v>0</v>
      </c>
      <c r="AN51" s="36">
        <f>DMAX($AH$4:$AW$31,"MT2ref",$AL50:$AL51)</f>
        <v>0</v>
      </c>
      <c r="AO51" s="36">
        <f>DMAX($AH$4:$AW$31,"MV",$AL50:$AL51)</f>
        <v>0</v>
      </c>
      <c r="AP51" s="36">
        <v>10</v>
      </c>
      <c r="AQ51" s="36" t="e">
        <f>DGET($AH$4:$AW$31,"DPDébut",AP50:AP51)</f>
        <v>#VALUE!</v>
      </c>
      <c r="AR51" s="36">
        <f>AP51</f>
        <v>10</v>
      </c>
      <c r="AS51" s="36" t="e">
        <f>DGET($AH$4:$AW$31,"DPFin",AR50:AR51)</f>
        <v>#VALUE!</v>
      </c>
      <c r="AT51" s="36">
        <f>AR51</f>
        <v>10</v>
      </c>
      <c r="AU51" s="216">
        <f>DMAX($AH$4:$AW$31,"DL",$AT50:$AT51)</f>
        <v>0</v>
      </c>
      <c r="AV51" s="36">
        <f>DMAX($AH$4:$AW$31,"DT2ref",$AT50:$AT51)</f>
        <v>0</v>
      </c>
      <c r="AW51" s="217">
        <f>DMAX($AH$4:$AW$31,"DV",$AT50:$AT51)</f>
        <v>0</v>
      </c>
      <c r="AZ51" s="210"/>
      <c r="BA51" s="210"/>
      <c r="BB51" s="210"/>
      <c r="BC51" s="9"/>
      <c r="BD51" s="9"/>
      <c r="BF51" s="9"/>
      <c r="BG51" s="9"/>
    </row>
    <row r="52" spans="2:59" x14ac:dyDescent="0.2">
      <c r="B52" s="9"/>
      <c r="C52" s="9"/>
      <c r="D52" s="9"/>
      <c r="E52" s="9"/>
      <c r="F52" s="9"/>
      <c r="G52" s="9"/>
      <c r="H52" s="9"/>
      <c r="K52" s="9"/>
      <c r="L52" s="9"/>
      <c r="O52" s="9"/>
      <c r="P52" s="9"/>
      <c r="R52" s="9"/>
      <c r="S52" s="9"/>
      <c r="T52" s="9"/>
      <c r="W52" s="9"/>
      <c r="X52" s="9"/>
      <c r="AA52" s="9"/>
      <c r="AB52" s="9"/>
      <c r="AD52" s="9"/>
      <c r="AE52" s="9"/>
      <c r="AF52" s="9"/>
      <c r="AH52" s="219" t="str">
        <f>$AH$4</f>
        <v>MNDébut</v>
      </c>
      <c r="AI52" s="218" t="s">
        <v>74</v>
      </c>
      <c r="AJ52" s="220" t="str">
        <f>$AJ$4</f>
        <v>MNFin</v>
      </c>
      <c r="AK52" s="218" t="s">
        <v>75</v>
      </c>
      <c r="AL52" s="218" t="s">
        <v>80</v>
      </c>
      <c r="AM52" s="218" t="s">
        <v>311</v>
      </c>
      <c r="AN52" s="218" t="s">
        <v>304</v>
      </c>
      <c r="AO52" s="218" t="s">
        <v>312</v>
      </c>
      <c r="AP52" s="220" t="str">
        <f>$AP$4</f>
        <v>DNDébut</v>
      </c>
      <c r="AQ52" s="218" t="s">
        <v>74</v>
      </c>
      <c r="AR52" s="220" t="str">
        <f>$AR$4</f>
        <v>DNFin</v>
      </c>
      <c r="AS52" s="218" t="s">
        <v>75</v>
      </c>
      <c r="AT52" s="220" t="str">
        <f>$AT$4</f>
        <v>DEquipRef</v>
      </c>
      <c r="AU52" s="218" t="s">
        <v>313</v>
      </c>
      <c r="AV52" s="218" t="s">
        <v>305</v>
      </c>
      <c r="AW52" s="221" t="s">
        <v>314</v>
      </c>
      <c r="AZ52" s="210"/>
      <c r="BA52" s="210"/>
      <c r="BB52" s="210"/>
      <c r="BC52" s="9"/>
      <c r="BD52" s="9"/>
      <c r="BF52" s="9"/>
      <c r="BG52" s="9"/>
    </row>
    <row r="53" spans="2:59" x14ac:dyDescent="0.2">
      <c r="B53" s="9"/>
      <c r="C53" s="9"/>
      <c r="D53" s="9"/>
      <c r="E53" s="9"/>
      <c r="F53" s="9"/>
      <c r="G53" s="9"/>
      <c r="H53" s="9"/>
      <c r="K53" s="9"/>
      <c r="L53" s="9"/>
      <c r="O53" s="9"/>
      <c r="P53" s="9"/>
      <c r="R53" s="9"/>
      <c r="S53" s="9"/>
      <c r="T53" s="9"/>
      <c r="W53" s="9"/>
      <c r="X53" s="9"/>
      <c r="AA53" s="9"/>
      <c r="AB53" s="9"/>
      <c r="AD53" s="9"/>
      <c r="AE53" s="9"/>
      <c r="AF53" s="9"/>
      <c r="AH53" s="215">
        <v>11</v>
      </c>
      <c r="AI53" s="36" t="e">
        <f>DGET($AH$4:$AW$31,"MPDébut",AH52:AH53)</f>
        <v>#VALUE!</v>
      </c>
      <c r="AJ53" s="36">
        <f>AH53</f>
        <v>11</v>
      </c>
      <c r="AK53" s="36" t="e">
        <f>DGET($AH$4:$AW$31,"MPFin",AJ52:AJ53)</f>
        <v>#VALUE!</v>
      </c>
      <c r="AL53" s="36">
        <f>AJ53</f>
        <v>11</v>
      </c>
      <c r="AM53" s="216">
        <f>DMAX($AH$4:$AW$31,"ML",$AL52:$AL53)</f>
        <v>0</v>
      </c>
      <c r="AN53" s="36">
        <f>DMAX($AH$4:$AW$31,"MT2ref",$AL52:$AL53)</f>
        <v>0</v>
      </c>
      <c r="AO53" s="36">
        <f>DMAX($AH$4:$AW$31,"MV",$AL52:$AL53)</f>
        <v>0</v>
      </c>
      <c r="AP53" s="36">
        <v>11</v>
      </c>
      <c r="AQ53" s="36" t="e">
        <f>DGET($AH$4:$AW$31,"DPDébut",AP52:AP53)</f>
        <v>#VALUE!</v>
      </c>
      <c r="AR53" s="36">
        <f>AP53</f>
        <v>11</v>
      </c>
      <c r="AS53" s="36" t="e">
        <f>DGET($AH$4:$AW$31,"DPFin",AR52:AR53)</f>
        <v>#VALUE!</v>
      </c>
      <c r="AT53" s="36">
        <f>AR53</f>
        <v>11</v>
      </c>
      <c r="AU53" s="216">
        <f>DMAX($AH$4:$AW$31,"DL",$AT52:$AT53)</f>
        <v>0</v>
      </c>
      <c r="AV53" s="36">
        <f>DMAX($AH$4:$AW$31,"DT2ref",$AT52:$AT53)</f>
        <v>0</v>
      </c>
      <c r="AW53" s="217">
        <f>DMAX($AH$4:$AW$31,"DV",$AT52:$AT53)</f>
        <v>0</v>
      </c>
      <c r="AZ53" s="210"/>
      <c r="BA53" s="210"/>
      <c r="BB53" s="210"/>
      <c r="BC53" s="9"/>
      <c r="BD53" s="9"/>
      <c r="BF53" s="9"/>
      <c r="BG53" s="9"/>
    </row>
    <row r="54" spans="2:59" x14ac:dyDescent="0.2">
      <c r="B54" s="9"/>
      <c r="C54" s="9"/>
      <c r="D54" s="9"/>
      <c r="E54" s="9"/>
      <c r="F54" s="9"/>
      <c r="G54" s="9"/>
      <c r="H54" s="9"/>
      <c r="K54" s="9"/>
      <c r="L54" s="9"/>
      <c r="O54" s="9"/>
      <c r="P54" s="9"/>
      <c r="R54" s="9"/>
      <c r="S54" s="9"/>
      <c r="T54" s="9"/>
      <c r="W54" s="9"/>
      <c r="X54" s="9"/>
      <c r="AA54" s="9"/>
      <c r="AB54" s="9"/>
      <c r="AD54" s="9"/>
      <c r="AE54" s="9"/>
      <c r="AF54" s="9"/>
      <c r="AH54" s="219" t="str">
        <f>$AH$4</f>
        <v>MNDébut</v>
      </c>
      <c r="AI54" s="218" t="s">
        <v>74</v>
      </c>
      <c r="AJ54" s="220" t="str">
        <f>$AJ$4</f>
        <v>MNFin</v>
      </c>
      <c r="AK54" s="218" t="s">
        <v>75</v>
      </c>
      <c r="AL54" s="218" t="s">
        <v>80</v>
      </c>
      <c r="AM54" s="218" t="s">
        <v>311</v>
      </c>
      <c r="AN54" s="218" t="s">
        <v>304</v>
      </c>
      <c r="AO54" s="218" t="s">
        <v>312</v>
      </c>
      <c r="AP54" s="220" t="str">
        <f>$AP$4</f>
        <v>DNDébut</v>
      </c>
      <c r="AQ54" s="218" t="s">
        <v>74</v>
      </c>
      <c r="AR54" s="220" t="str">
        <f>$AR$4</f>
        <v>DNFin</v>
      </c>
      <c r="AS54" s="218" t="s">
        <v>75</v>
      </c>
      <c r="AT54" s="220" t="str">
        <f>$AT$4</f>
        <v>DEquipRef</v>
      </c>
      <c r="AU54" s="218" t="s">
        <v>313</v>
      </c>
      <c r="AV54" s="218" t="s">
        <v>305</v>
      </c>
      <c r="AW54" s="221" t="s">
        <v>314</v>
      </c>
      <c r="AZ54" s="210"/>
      <c r="BA54" s="210"/>
      <c r="BB54" s="210"/>
      <c r="BC54" s="9"/>
      <c r="BD54" s="9"/>
      <c r="BF54" s="9"/>
      <c r="BG54" s="9"/>
    </row>
    <row r="55" spans="2:59" ht="13.5" thickBot="1" x14ac:dyDescent="0.25">
      <c r="B55" s="9"/>
      <c r="C55" s="9"/>
      <c r="D55" s="9"/>
      <c r="E55" s="9"/>
      <c r="F55" s="9"/>
      <c r="G55" s="9"/>
      <c r="H55" s="9"/>
      <c r="K55" s="9"/>
      <c r="L55" s="9"/>
      <c r="O55" s="9"/>
      <c r="P55" s="9"/>
      <c r="R55" s="9"/>
      <c r="S55" s="9"/>
      <c r="T55" s="9"/>
      <c r="W55" s="9"/>
      <c r="X55" s="9"/>
      <c r="AA55" s="9"/>
      <c r="AB55" s="9"/>
      <c r="AD55" s="9"/>
      <c r="AE55" s="9"/>
      <c r="AF55" s="9"/>
      <c r="AH55" s="215">
        <v>12</v>
      </c>
      <c r="AI55" s="36" t="e">
        <f>DGET($AH$4:$AW$31,"MPDébut",AH54:AH55)</f>
        <v>#VALUE!</v>
      </c>
      <c r="AJ55" s="36">
        <f>AH55</f>
        <v>12</v>
      </c>
      <c r="AK55" s="36" t="e">
        <f>DGET($AH$4:$AW$31,"MPFin",AJ54:AJ55)</f>
        <v>#VALUE!</v>
      </c>
      <c r="AL55" s="36">
        <f>AJ55</f>
        <v>12</v>
      </c>
      <c r="AM55" s="216">
        <f>DMAX($AH$4:$AW$31,"ML",$AL54:$AL55)</f>
        <v>0</v>
      </c>
      <c r="AN55" s="36">
        <f>DMAX($AH$4:$AW$31,"MT2ref",$AL54:$AL55)</f>
        <v>0</v>
      </c>
      <c r="AO55" s="36">
        <f>DMAX($AH$4:$AW$31,"MV",$AL54:$AL55)</f>
        <v>0</v>
      </c>
      <c r="AP55" s="36">
        <v>12</v>
      </c>
      <c r="AQ55" s="36" t="e">
        <f>DGET($AH$4:$AW$31,"DPDébut",AP54:AP55)</f>
        <v>#VALUE!</v>
      </c>
      <c r="AR55" s="36">
        <f>AP55</f>
        <v>12</v>
      </c>
      <c r="AS55" s="36" t="e">
        <f>DGET($AH$4:$AW$31,"DPFin",AR54:AR55)</f>
        <v>#VALUE!</v>
      </c>
      <c r="AT55" s="36">
        <f>AR55</f>
        <v>12</v>
      </c>
      <c r="AU55" s="216">
        <f>DMAX($AH$4:$AW$31,"DL",$AT54:$AT55)</f>
        <v>0</v>
      </c>
      <c r="AV55" s="36">
        <f>DMAX($AH$4:$AW$31,"DT2ref",$AT54:$AT55)</f>
        <v>0</v>
      </c>
      <c r="AW55" s="217">
        <f>DMAX($AH$4:$AW$31,"DV",$AT54:$AT55)</f>
        <v>0</v>
      </c>
      <c r="AZ55" s="210"/>
      <c r="BA55" s="210"/>
      <c r="BB55" s="210"/>
      <c r="BC55" s="9"/>
      <c r="BD55" s="9"/>
      <c r="BF55" s="9"/>
      <c r="BG55" s="9"/>
    </row>
    <row r="56" spans="2:59" x14ac:dyDescent="0.2">
      <c r="B56" s="9"/>
      <c r="C56" s="9"/>
      <c r="D56" s="9"/>
      <c r="E56" s="9"/>
      <c r="F56" s="9"/>
      <c r="G56" s="9"/>
      <c r="H56" s="9"/>
      <c r="K56" s="9"/>
      <c r="L56" s="9"/>
      <c r="O56" s="9"/>
      <c r="P56" s="9"/>
      <c r="R56" s="9"/>
      <c r="S56" s="9"/>
      <c r="T56" s="9"/>
      <c r="W56" s="9"/>
      <c r="X56" s="9"/>
      <c r="AA56" s="9"/>
      <c r="AB56" s="9"/>
      <c r="AD56" s="9"/>
      <c r="AE56" s="9"/>
      <c r="AF56" s="9"/>
      <c r="AH56" s="257"/>
      <c r="AI56" s="222"/>
      <c r="AJ56" s="257"/>
      <c r="AK56" s="222"/>
      <c r="AL56" s="257"/>
      <c r="AM56" s="222"/>
      <c r="AN56" s="222"/>
      <c r="AO56" s="222"/>
      <c r="AP56" s="257"/>
      <c r="AQ56" s="222"/>
      <c r="AR56" s="257"/>
      <c r="AS56" s="222"/>
      <c r="AT56" s="222"/>
      <c r="AU56" s="222"/>
      <c r="AV56" s="222"/>
      <c r="AW56" s="222"/>
      <c r="AZ56" s="210"/>
      <c r="BA56" s="210"/>
      <c r="BB56" s="210"/>
      <c r="BC56" s="9"/>
      <c r="BD56" s="9"/>
      <c r="BF56" s="9"/>
      <c r="BG56" s="9"/>
    </row>
    <row r="57" spans="2:59" x14ac:dyDescent="0.2">
      <c r="B57" s="9"/>
      <c r="C57" s="9"/>
      <c r="D57" s="9"/>
      <c r="E57" s="9"/>
      <c r="F57" s="9"/>
      <c r="G57" s="9"/>
      <c r="H57" s="9"/>
      <c r="K57" s="9"/>
      <c r="L57" s="9"/>
      <c r="O57" s="9"/>
      <c r="P57" s="9"/>
      <c r="R57" s="9"/>
      <c r="S57" s="9"/>
      <c r="T57" s="9"/>
      <c r="W57" s="9"/>
      <c r="X57" s="9"/>
      <c r="AA57" s="9"/>
      <c r="AB57" s="9"/>
      <c r="AD57" s="9"/>
      <c r="AE57" s="9"/>
      <c r="AF57" s="9"/>
      <c r="AH57" s="258"/>
      <c r="AI57" s="223"/>
      <c r="AJ57" s="258"/>
      <c r="AK57" s="223"/>
      <c r="AL57" s="258"/>
      <c r="AM57" s="223"/>
      <c r="AN57" s="223"/>
      <c r="AO57" s="223"/>
      <c r="AP57" s="258"/>
      <c r="AQ57" s="223"/>
      <c r="AR57" s="258"/>
      <c r="AS57" s="223"/>
      <c r="AT57" s="223"/>
      <c r="AU57" s="223"/>
      <c r="AV57" s="223"/>
      <c r="AW57" s="223"/>
      <c r="AZ57" s="210"/>
      <c r="BA57" s="210"/>
      <c r="BB57" s="210"/>
      <c r="BC57" s="9"/>
      <c r="BD57" s="9"/>
      <c r="BF57" s="9"/>
      <c r="BG57" s="9"/>
    </row>
    <row r="58" spans="2:59" x14ac:dyDescent="0.2">
      <c r="B58" s="9"/>
      <c r="C58" s="9"/>
      <c r="D58" s="9"/>
      <c r="E58" s="9"/>
      <c r="F58" s="9"/>
      <c r="G58" s="9"/>
      <c r="H58" s="9"/>
      <c r="K58" s="9"/>
      <c r="L58" s="9"/>
      <c r="O58" s="9"/>
      <c r="P58" s="9"/>
      <c r="R58" s="9"/>
      <c r="S58" s="9"/>
      <c r="T58" s="9"/>
      <c r="W58" s="9"/>
      <c r="X58" s="9"/>
      <c r="AA58" s="9"/>
      <c r="AB58" s="9"/>
      <c r="AD58" s="9"/>
      <c r="AE58" s="9"/>
      <c r="AF58" s="9"/>
      <c r="AH58" s="258"/>
      <c r="AI58" s="223"/>
      <c r="AJ58" s="258"/>
      <c r="AK58" s="223"/>
      <c r="AL58" s="258"/>
      <c r="AM58" s="223"/>
      <c r="AN58" s="223"/>
      <c r="AO58" s="223"/>
      <c r="AP58" s="258"/>
      <c r="AQ58" s="223"/>
      <c r="AR58" s="258"/>
      <c r="AS58" s="223"/>
      <c r="AT58" s="223"/>
      <c r="AU58" s="223"/>
      <c r="AV58" s="223"/>
      <c r="AW58" s="223"/>
      <c r="AZ58" s="210"/>
      <c r="BA58" s="210"/>
      <c r="BB58" s="210"/>
      <c r="BC58" s="9"/>
      <c r="BD58" s="9"/>
      <c r="BF58" s="9"/>
      <c r="BG58" s="9"/>
    </row>
    <row r="59" spans="2:59" x14ac:dyDescent="0.2">
      <c r="B59" s="9"/>
      <c r="C59" s="9"/>
      <c r="D59" s="9"/>
      <c r="E59" s="9"/>
      <c r="F59" s="9"/>
      <c r="G59" s="9"/>
      <c r="H59" s="9"/>
      <c r="K59" s="9"/>
      <c r="L59" s="9"/>
      <c r="O59" s="9"/>
      <c r="P59" s="9"/>
      <c r="R59" s="9"/>
      <c r="S59" s="9"/>
      <c r="T59" s="9"/>
      <c r="W59" s="9"/>
      <c r="X59" s="9"/>
      <c r="AA59" s="9"/>
      <c r="AB59" s="9"/>
      <c r="AD59" s="9"/>
      <c r="AE59" s="9"/>
      <c r="AF59" s="9"/>
      <c r="AH59" s="258"/>
      <c r="AI59" s="223"/>
      <c r="AJ59" s="258"/>
      <c r="AK59" s="223"/>
      <c r="AL59" s="258"/>
      <c r="AM59" s="223"/>
      <c r="AN59" s="223"/>
      <c r="AO59" s="223"/>
      <c r="AP59" s="258"/>
      <c r="AQ59" s="223"/>
      <c r="AR59" s="258"/>
      <c r="AS59" s="223"/>
      <c r="AT59" s="223"/>
      <c r="AU59" s="223"/>
      <c r="AV59" s="223"/>
      <c r="AW59" s="223"/>
      <c r="AZ59" s="210"/>
      <c r="BA59" s="210"/>
      <c r="BB59" s="210"/>
      <c r="BC59" s="9"/>
      <c r="BD59" s="9"/>
      <c r="BF59" s="9"/>
      <c r="BG59" s="9"/>
    </row>
    <row r="60" spans="2:59" x14ac:dyDescent="0.2">
      <c r="B60" s="9"/>
      <c r="C60" s="9"/>
      <c r="D60" s="9"/>
      <c r="E60" s="9"/>
      <c r="F60" s="9"/>
      <c r="G60" s="9"/>
      <c r="H60" s="9"/>
      <c r="K60" s="9"/>
      <c r="L60" s="9"/>
      <c r="O60" s="9"/>
      <c r="P60" s="9"/>
      <c r="R60" s="9"/>
      <c r="S60" s="9"/>
      <c r="T60" s="9"/>
      <c r="W60" s="9"/>
      <c r="X60" s="9"/>
      <c r="AA60" s="9"/>
      <c r="AB60" s="9"/>
      <c r="AD60" s="9"/>
      <c r="AE60" s="9"/>
      <c r="AF60" s="9"/>
      <c r="AH60" s="258"/>
      <c r="AI60" s="223"/>
      <c r="AJ60" s="258"/>
      <c r="AK60" s="223"/>
      <c r="AL60" s="258"/>
      <c r="AM60" s="223"/>
      <c r="AN60" s="223"/>
      <c r="AO60" s="223"/>
      <c r="AP60" s="258"/>
      <c r="AQ60" s="223"/>
      <c r="AR60" s="258"/>
      <c r="AS60" s="223"/>
      <c r="AT60" s="223"/>
      <c r="AU60" s="223"/>
      <c r="AV60" s="223"/>
      <c r="AW60" s="223"/>
      <c r="AZ60" s="210"/>
      <c r="BA60" s="210"/>
      <c r="BB60" s="210"/>
      <c r="BC60" s="9"/>
      <c r="BD60" s="9"/>
      <c r="BF60" s="9"/>
      <c r="BG60" s="9"/>
    </row>
    <row r="61" spans="2:59" x14ac:dyDescent="0.2">
      <c r="B61" s="9"/>
      <c r="C61" s="9"/>
      <c r="D61" s="9"/>
      <c r="E61" s="9"/>
      <c r="F61" s="9"/>
      <c r="G61" s="9"/>
      <c r="H61" s="9"/>
      <c r="K61" s="9"/>
      <c r="L61" s="9"/>
      <c r="O61" s="9"/>
      <c r="P61" s="9"/>
      <c r="R61" s="9"/>
      <c r="S61" s="9"/>
      <c r="T61" s="9"/>
      <c r="W61" s="9"/>
      <c r="X61" s="9"/>
      <c r="AA61" s="9"/>
      <c r="AB61" s="9"/>
      <c r="AD61" s="9"/>
      <c r="AE61" s="9"/>
      <c r="AF61" s="9"/>
      <c r="AH61" s="258"/>
      <c r="AI61" s="223"/>
      <c r="AJ61" s="258"/>
      <c r="AK61" s="223"/>
      <c r="AL61" s="258"/>
      <c r="AM61" s="223"/>
      <c r="AN61" s="223"/>
      <c r="AO61" s="223"/>
      <c r="AP61" s="258"/>
      <c r="AQ61" s="223"/>
      <c r="AR61" s="258"/>
      <c r="AS61" s="223"/>
      <c r="AT61" s="223"/>
      <c r="AU61" s="223"/>
      <c r="AV61" s="223"/>
      <c r="AW61" s="223"/>
      <c r="BF61" s="9"/>
      <c r="BG61" s="9"/>
    </row>
    <row r="62" spans="2:59" x14ac:dyDescent="0.2">
      <c r="B62" s="9"/>
      <c r="C62" s="9"/>
      <c r="D62" s="9"/>
      <c r="E62" s="9"/>
      <c r="F62" s="9"/>
      <c r="G62" s="9"/>
      <c r="H62" s="9"/>
      <c r="K62" s="9"/>
      <c r="L62" s="9"/>
      <c r="O62" s="9"/>
      <c r="P62" s="9"/>
      <c r="R62" s="9"/>
      <c r="S62" s="9"/>
      <c r="T62" s="9"/>
      <c r="W62" s="9"/>
      <c r="X62" s="9"/>
      <c r="AA62" s="9"/>
      <c r="AB62" s="9"/>
      <c r="AD62" s="9"/>
      <c r="AE62" s="9"/>
      <c r="AF62" s="9"/>
      <c r="AH62" s="258"/>
      <c r="AI62" s="223"/>
      <c r="AJ62" s="258"/>
      <c r="AK62" s="223"/>
      <c r="AL62" s="258"/>
      <c r="AM62" s="223"/>
      <c r="AN62" s="223"/>
      <c r="AO62" s="223"/>
      <c r="AP62" s="258"/>
      <c r="AQ62" s="223"/>
      <c r="AR62" s="258"/>
      <c r="AS62" s="223"/>
      <c r="AT62" s="223"/>
      <c r="AU62" s="223"/>
      <c r="AV62" s="223"/>
      <c r="AW62" s="223"/>
    </row>
    <row r="63" spans="2:59" x14ac:dyDescent="0.2">
      <c r="B63" s="9"/>
      <c r="C63" s="9"/>
      <c r="D63" s="9"/>
      <c r="E63" s="9"/>
      <c r="F63" s="9"/>
      <c r="G63" s="9"/>
      <c r="H63" s="9"/>
      <c r="K63" s="9"/>
      <c r="L63" s="9"/>
      <c r="O63" s="9"/>
      <c r="P63" s="9"/>
      <c r="R63" s="9"/>
      <c r="S63" s="9"/>
      <c r="T63" s="9"/>
      <c r="W63" s="9"/>
      <c r="X63" s="9"/>
      <c r="AA63" s="9"/>
      <c r="AB63" s="9"/>
      <c r="AD63" s="9"/>
      <c r="AE63" s="9"/>
      <c r="AF63" s="9"/>
      <c r="AH63" s="258"/>
      <c r="AI63" s="223"/>
      <c r="AJ63" s="258"/>
      <c r="AK63" s="223"/>
      <c r="AL63" s="258"/>
      <c r="AM63" s="223"/>
      <c r="AN63" s="223"/>
      <c r="AO63" s="223"/>
      <c r="AP63" s="258"/>
      <c r="AQ63" s="223"/>
      <c r="AR63" s="258"/>
      <c r="AS63" s="223"/>
      <c r="AT63" s="223"/>
      <c r="AU63" s="223"/>
      <c r="AV63" s="223"/>
      <c r="AW63" s="223"/>
    </row>
  </sheetData>
  <sheetProtection selectLockedCells="1"/>
  <mergeCells count="9">
    <mergeCell ref="A1:AW1"/>
    <mergeCell ref="AY5:BK5"/>
    <mergeCell ref="A2:C2"/>
    <mergeCell ref="AH2:AW2"/>
    <mergeCell ref="AH3:AO3"/>
    <mergeCell ref="AP3:AW3"/>
    <mergeCell ref="E2:H2"/>
    <mergeCell ref="V2:AF2"/>
    <mergeCell ref="J2:T2"/>
  </mergeCells>
  <phoneticPr fontId="5" type="noConversion"/>
  <conditionalFormatting sqref="V8:V31 J8:J31">
    <cfRule type="cellIs" dxfId="17" priority="5" stopIfTrue="1" operator="equal">
      <formula>J9</formula>
    </cfRule>
  </conditionalFormatting>
  <conditionalFormatting sqref="W6:X31 K6:L31">
    <cfRule type="cellIs" dxfId="16" priority="8" stopIfTrue="1" operator="equal">
      <formula>0</formula>
    </cfRule>
  </conditionalFormatting>
  <pageMargins left="0.75" right="0.75" top="1" bottom="1" header="0.4921259845" footer="0.4921259845"/>
  <ignoredErrors>
    <ignoredError sqref="AM5:AO5 BF20:BI20 BF8:BI9 BF10 J23:J31 AZ20 S31 AE31 V29:V31 J22 V22:V28 AI33 AM33:AN33" emptyCellReference="1"/>
    <ignoredError sqref="BG10:BI10 AK33" formula="1" emptyCellReference="1"/>
    <ignoredError sqref="BE17 AJ33 AR33:AR54 AT33:AT54 AJ35:AK35 AJ37:AK37 AJ39:AK39 AJ41:AK41 AJ42:AJ54 AK43 AS45 AS47 AS49 AS51 AS53 AS55" formula="1"/>
    <ignoredError sqref="AH6:AW30 AH31:AI31 AS31:AW31 AK31:AQ31" calculatedColumn="1"/>
    <ignoredError sqref="AR31 AJ31" emptyCellReference="1" calculatedColumn="1"/>
    <ignoredError sqref="AQ33 AQ35 AQ37 AQ39 AQ41 AQ43 AI45 AI47 AI49 AI51 AI53 AI55" evalError="1"/>
    <ignoredError sqref="AS33 AS35 AS37 AS39 AS41 AS43 AK45 AK47 AK49 AK51 AK53 AK55" evalError="1" formula="1"/>
  </ignoredErrors>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28</vt:i4>
      </vt:variant>
    </vt:vector>
  </HeadingPairs>
  <TitlesOfParts>
    <vt:vector size="37" baseType="lpstr">
      <vt:lpstr>     0-I     </vt:lpstr>
      <vt:lpstr>     1-DG     </vt:lpstr>
      <vt:lpstr>     2-DL     </vt:lpstr>
      <vt:lpstr>     3-AE     </vt:lpstr>
      <vt:lpstr>     4-R     </vt:lpstr>
      <vt:lpstr>C-L</vt:lpstr>
      <vt:lpstr>C-P</vt:lpstr>
      <vt:lpstr>C-CP</vt:lpstr>
      <vt:lpstr>C-CU</vt:lpstr>
      <vt:lpstr>A_TempsAccèsPortéeSuivante</vt:lpstr>
      <vt:lpstr>A_TempsAccèsPylone</vt:lpstr>
      <vt:lpstr>A_TempsEvacuationVéhicule</vt:lpstr>
      <vt:lpstr>A_TempsRetourPassagerLieuSur</vt:lpstr>
      <vt:lpstr>Datos</vt:lpstr>
      <vt:lpstr>'     4-R     '!Druckbereich</vt:lpstr>
      <vt:lpstr>Durée_maximale_d_évacuation</vt:lpstr>
      <vt:lpstr>Espacement_Véhicules</vt:lpstr>
      <vt:lpstr>LongueurLigne</vt:lpstr>
      <vt:lpstr>NBPylône</vt:lpstr>
      <vt:lpstr>NMaxSiègeEquipe</vt:lpstr>
      <vt:lpstr>NMaxSiègeLigne</vt:lpstr>
      <vt:lpstr>Nombre_de_personne_par_siège__maximum</vt:lpstr>
      <vt:lpstr>NomDernièreEquipe</vt:lpstr>
      <vt:lpstr>NomG1</vt:lpstr>
      <vt:lpstr>NomG2</vt:lpstr>
      <vt:lpstr>NomPortée</vt:lpstr>
      <vt:lpstr>'C-L'!OLE_LINK1</vt:lpstr>
      <vt:lpstr>'C-L'!OLE_LINK2</vt:lpstr>
      <vt:lpstr>Remplissage_du_brin_descendant</vt:lpstr>
      <vt:lpstr>Remplissage_du_brin_montant</vt:lpstr>
      <vt:lpstr>S_TempsAccèsPortéeSuivante</vt:lpstr>
      <vt:lpstr>S_TempsAccèsPylone</vt:lpstr>
      <vt:lpstr>S_TempsEvacuationVehicule</vt:lpstr>
      <vt:lpstr>S_TempsRetourPassagerLieuSur</vt:lpstr>
      <vt:lpstr>S_Tiempo_paso_un_vehiculo_a_otro</vt:lpstr>
      <vt:lpstr>TexteG1</vt:lpstr>
      <vt:lpstr>TexteG2</vt:lpstr>
    </vt:vector>
  </TitlesOfParts>
  <Company>INSA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Balzer</dc:creator>
  <cp:lastModifiedBy>.</cp:lastModifiedBy>
  <cp:lastPrinted>2014-03-17T08:49:18Z</cp:lastPrinted>
  <dcterms:created xsi:type="dcterms:W3CDTF">2009-03-24T10:58:29Z</dcterms:created>
  <dcterms:modified xsi:type="dcterms:W3CDTF">2017-12-22T16:22:22Z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